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24" activeTab="0"/>
  </bookViews>
  <sheets>
    <sheet name="Меню" sheetId="1" r:id="rId1"/>
    <sheet name="накопительная" sheetId="2" r:id="rId2"/>
    <sheet name="Ценность " sheetId="3" r:id="rId3"/>
    <sheet name="объемы" sheetId="4" r:id="rId4"/>
    <sheet name="рацион питания" sheetId="5" r:id="rId5"/>
    <sheet name="проверка" sheetId="6" r:id="rId6"/>
  </sheets>
  <definedNames>
    <definedName name="_xlnm._FilterDatabase" localSheetId="0" hidden="1">'Меню'!$A$1:$A$1403</definedName>
  </definedNames>
  <calcPr fullCalcOnLoad="1"/>
</workbook>
</file>

<file path=xl/sharedStrings.xml><?xml version="1.0" encoding="utf-8"?>
<sst xmlns="http://schemas.openxmlformats.org/spreadsheetml/2006/main" count="2046" uniqueCount="533">
  <si>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</si>
  <si>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</si>
  <si>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</si>
  <si>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</si>
  <si>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</si>
  <si>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</si>
  <si>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</si>
  <si>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</si>
  <si>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</si>
  <si>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</si>
  <si>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</si>
  <si>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</si>
  <si>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</si>
  <si>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</si>
  <si>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</si>
  <si>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</si>
  <si>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</si>
  <si>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свекла до 01.01 -20%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</si>
  <si>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</si>
  <si>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</si>
  <si>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</si>
  <si>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</si>
  <si>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</si>
  <si>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</si>
  <si>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</si>
  <si>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творог</t>
  </si>
  <si>
    <t>чай-заварка</t>
  </si>
  <si>
    <t>Хлеб ржаной</t>
  </si>
  <si>
    <t>Картофель</t>
  </si>
  <si>
    <t>Фрукты свежие</t>
  </si>
  <si>
    <t>Соки</t>
  </si>
  <si>
    <t>Кондитерские изделия</t>
  </si>
  <si>
    <t>Чай</t>
  </si>
  <si>
    <t>Масло сливочное</t>
  </si>
  <si>
    <t>Масло растительное</t>
  </si>
  <si>
    <t>100/5</t>
  </si>
  <si>
    <t>№</t>
  </si>
  <si>
    <t>% выполнения</t>
  </si>
  <si>
    <t>Дни</t>
  </si>
  <si>
    <t>Какао</t>
  </si>
  <si>
    <t>масло сливочное на полив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</si>
  <si>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</si>
  <si>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</si>
  <si>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</si>
  <si>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</si>
  <si>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</si>
  <si>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</si>
  <si>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</si>
  <si>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</si>
  <si>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</si>
  <si>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</si>
  <si>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</si>
  <si>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</si>
  <si>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</si>
  <si>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</si>
  <si>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Фактически получено, г</t>
  </si>
  <si>
    <t>молоко питьевое</t>
  </si>
  <si>
    <t>соль йодированная</t>
  </si>
  <si>
    <t>томатное пюре (без искусственных ароматизаторов, красителей и консервантов)</t>
  </si>
  <si>
    <t>120/5</t>
  </si>
  <si>
    <t>какао - порошок</t>
  </si>
  <si>
    <t>капуста белокочанная свежая</t>
  </si>
  <si>
    <t>сметана</t>
  </si>
  <si>
    <t>ОБЕД</t>
  </si>
  <si>
    <t>крупа манная</t>
  </si>
  <si>
    <t>горох лущёный</t>
  </si>
  <si>
    <t xml:space="preserve">сыр </t>
  </si>
  <si>
    <t>морковь до 01.01.-20%</t>
  </si>
  <si>
    <t>или мука пшеничная</t>
  </si>
  <si>
    <t>вода питьевая</t>
  </si>
  <si>
    <t>Обед</t>
  </si>
  <si>
    <t>250/10</t>
  </si>
  <si>
    <t>Крупы, бобовые</t>
  </si>
  <si>
    <t xml:space="preserve"> 2 день</t>
  </si>
  <si>
    <t>250/20/10</t>
  </si>
  <si>
    <t xml:space="preserve"> 1 день</t>
  </si>
  <si>
    <t>ИЛИ</t>
  </si>
  <si>
    <t>Дрожжи хлебопекарные</t>
  </si>
  <si>
    <t>зелень сушеная (петрушка, укроп)</t>
  </si>
  <si>
    <t>курага</t>
  </si>
  <si>
    <t>или хлеб витаминизированный</t>
  </si>
  <si>
    <t>масло растительное на полив при подаче</t>
  </si>
  <si>
    <t>или помидоры свежие парниковые</t>
  </si>
  <si>
    <t>шиповник</t>
  </si>
  <si>
    <t>крупа гречневая</t>
  </si>
  <si>
    <t>молоко сгущенное с сахаром</t>
  </si>
  <si>
    <t xml:space="preserve"> минтай потрошенный обезглавленный (филе с кожей без костей)</t>
  </si>
  <si>
    <t xml:space="preserve">горошек зеленый консервированный (после термической обработки) 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</si>
  <si>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</si>
  <si>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</si>
  <si>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</si>
  <si>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</si>
  <si>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Количество продуктов в г, мл, нетто*</t>
  </si>
  <si>
    <t>масса готовой запеканки</t>
  </si>
  <si>
    <t>масса тушеного филе (мякоть)</t>
  </si>
  <si>
    <t>печень говяжья</t>
  </si>
  <si>
    <t>%</t>
  </si>
  <si>
    <t>Фрукты в ассортименте</t>
  </si>
  <si>
    <t>мука пшеничная на подпыл</t>
  </si>
  <si>
    <t>или лапша промышленного производства</t>
  </si>
  <si>
    <t>масса тушеного мяса</t>
  </si>
  <si>
    <t xml:space="preserve"> огурцы свежие парниковые</t>
  </si>
  <si>
    <t>помидоры свежие парниковые</t>
  </si>
  <si>
    <t>или помидоры свежие  грунтовые</t>
  </si>
  <si>
    <t>масло сливочное для смазки листа</t>
  </si>
  <si>
    <t>Наименование продуктов</t>
  </si>
  <si>
    <t>Норма продуктов в день на 1 ребенка в г, мл (нетто) при двухразовом питании (обед, полдник) в течении 10 дней</t>
  </si>
  <si>
    <t>% процент</t>
  </si>
  <si>
    <t>УТВЕРЖДАЮ:</t>
  </si>
  <si>
    <t xml:space="preserve"> 11 день</t>
  </si>
  <si>
    <t xml:space="preserve"> 12 день</t>
  </si>
  <si>
    <t>за 12 дней, г</t>
  </si>
  <si>
    <t>ЗАВТРАК</t>
  </si>
  <si>
    <t>Завтрак</t>
  </si>
  <si>
    <t>кофейный напиток</t>
  </si>
  <si>
    <t xml:space="preserve">лук репчатый </t>
  </si>
  <si>
    <t>курица потрошеная 1 категории охлажденная (разделка на мякоть без кожи)</t>
  </si>
  <si>
    <t>или помидоры консервированные без уксуса</t>
  </si>
  <si>
    <t>100/50</t>
  </si>
  <si>
    <t>масса припущенного с маслом лука</t>
  </si>
  <si>
    <t>или огурцы свежие грунтовые</t>
  </si>
  <si>
    <t>смородина</t>
  </si>
  <si>
    <t>масса готового омлета</t>
  </si>
  <si>
    <t>горошек зеленый консервированный (после термической обработки)</t>
  </si>
  <si>
    <t>или кукуруза консервированная (после термической обработки)</t>
  </si>
  <si>
    <t>30/30</t>
  </si>
  <si>
    <t>вишня</t>
  </si>
  <si>
    <t>120/50</t>
  </si>
  <si>
    <t>чеснок свежий</t>
  </si>
  <si>
    <t xml:space="preserve">огурцы консервированные  без уксуса </t>
  </si>
  <si>
    <t>крупа (перловая, или рисовая)</t>
  </si>
  <si>
    <t xml:space="preserve"> </t>
  </si>
  <si>
    <t>сухофрукты</t>
  </si>
  <si>
    <t>или грудка куриная  охлажденная (разделка на мякоть без кожи)</t>
  </si>
  <si>
    <t xml:space="preserve">курица потрошеная 1 категории охлажденная </t>
  </si>
  <si>
    <t xml:space="preserve">или филе куриное охлажденное промышленного производства </t>
  </si>
  <si>
    <t xml:space="preserve">Хлеб пшеничный </t>
  </si>
  <si>
    <t>сельдь слабого посола (пресервы)</t>
  </si>
  <si>
    <t>батон</t>
  </si>
  <si>
    <t>250/5/15</t>
  </si>
  <si>
    <t>250/15</t>
  </si>
  <si>
    <t>250/15/5</t>
  </si>
  <si>
    <t>814-950</t>
  </si>
  <si>
    <t>лимон</t>
  </si>
  <si>
    <t>200/7</t>
  </si>
  <si>
    <t xml:space="preserve">масло растительное </t>
  </si>
  <si>
    <t>ванилин</t>
  </si>
  <si>
    <t>апельсины</t>
  </si>
  <si>
    <t>горошек зеленый консервированный</t>
  </si>
  <si>
    <t>фрикадельки</t>
  </si>
  <si>
    <t>или горбуша или кета потрошенная с головой (филе с кожей без костей)</t>
  </si>
  <si>
    <t>или горбуша или кета неразделанная  (филе с кожей без  костей)</t>
  </si>
  <si>
    <t>или горбуша или кета неразделанная  (филе без кожи и костей)</t>
  </si>
  <si>
    <t>отвар картофельный</t>
  </si>
  <si>
    <t>яблоки свежие (очищенные от кожицы с удаленным семенным гнездом)</t>
  </si>
  <si>
    <t>крупа пшено</t>
  </si>
  <si>
    <t>вода кипяченая для  восстановления молока концентрированного</t>
  </si>
  <si>
    <t>вода кипяченая для  восстановления молока сухого</t>
  </si>
  <si>
    <t xml:space="preserve">или грудка куриная  охлажденная </t>
  </si>
  <si>
    <t>250/10/5</t>
  </si>
  <si>
    <t>Факт в день, г</t>
  </si>
  <si>
    <t>Количество продуктов в г, мл, нетто при двухразовом питании  (завтрак, обед)</t>
  </si>
  <si>
    <t xml:space="preserve">Мука пшеничная </t>
  </si>
  <si>
    <t>Норма продуктов в день на 1 ребенка г, мл, нетто при двухразовом питании  (завтрак, обед)</t>
  </si>
  <si>
    <t>Количество продуктов в день на 1 ребенка в г, мл (нетто)  при двухразовом питании  (завтрак, обед) в течение 12 дней</t>
  </si>
  <si>
    <t>яблоки свежие (с удаленным семенным гнездом)</t>
  </si>
  <si>
    <t>масло растительное для смазки листа</t>
  </si>
  <si>
    <t>фасоль консервированная в собственном соку</t>
  </si>
  <si>
    <t>30/10</t>
  </si>
  <si>
    <t xml:space="preserve">  и горбуша или кета потрошенная с головой (филе без кожи и костей)</t>
  </si>
  <si>
    <t>масса свеклы вареной очищенной</t>
  </si>
  <si>
    <t>мука пшеничная или сухари</t>
  </si>
  <si>
    <t>или помидоры свежие грунтовые</t>
  </si>
  <si>
    <t>клюква свежемороженая</t>
  </si>
  <si>
    <t>урюк</t>
  </si>
  <si>
    <t>Итого в среднем за день</t>
  </si>
  <si>
    <t xml:space="preserve">Хлеб ржаной </t>
  </si>
  <si>
    <t xml:space="preserve">Макаронные изделия </t>
  </si>
  <si>
    <t>Сухофрукты</t>
  </si>
  <si>
    <t>Кофейный напиток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</si>
  <si>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</si>
  <si>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</si>
  <si>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</si>
  <si>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</si>
  <si>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</si>
  <si>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</si>
  <si>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</si>
  <si>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</si>
  <si>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 xml:space="preserve">Сыр </t>
  </si>
  <si>
    <t>Яйцо, шт.</t>
  </si>
  <si>
    <t>Специи</t>
  </si>
  <si>
    <t>Соль пищевая поваренная йодированная</t>
  </si>
  <si>
    <t xml:space="preserve">Суточная потребность 
СанПиН 2.3/2.4.3590-20 
(2720 ккал)** </t>
  </si>
  <si>
    <t>Итого, ккал</t>
  </si>
  <si>
    <t>20-25 % от суточного рациона</t>
  </si>
  <si>
    <t xml:space="preserve"> 30-35% от суточного рациона</t>
  </si>
  <si>
    <t>50 - 60% от суточного рациона</t>
  </si>
  <si>
    <t>544-680</t>
  </si>
  <si>
    <t>1360/1632</t>
  </si>
  <si>
    <t>ИТОГО в среднем за неделю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</si>
  <si>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</si>
  <si>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</si>
  <si>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 xml:space="preserve">Распределение энергетической ценности  (калорийности) на отдельные приемы пищи  для  детей  с 12 лет и старше                                                                            </t>
  </si>
  <si>
    <t>Суммарные объемы блюд по приемам пищи для детей с 12 лет и старше (не менее)</t>
  </si>
  <si>
    <t>Приложение №9, таблица 3 
к СанПиН 2.3/2.4.3590-20</t>
  </si>
  <si>
    <t>Завтрак, грамм</t>
  </si>
  <si>
    <t>Обед, грамм</t>
  </si>
  <si>
    <t>550</t>
  </si>
  <si>
    <t>800</t>
  </si>
  <si>
    <t>Меню приготавливаемых блюд 
завтрак, обед</t>
  </si>
  <si>
    <t>Возрастная категория: с 12 лет и старше</t>
  </si>
  <si>
    <t>№ рецептуры</t>
  </si>
  <si>
    <t>ИТОГО ПОТРЕБЛЕНИЕ ПИЩЕВЫХ ВЕЩЕСТВ ЗА НЕДЕЛЮ (завтрак, обед):</t>
  </si>
  <si>
    <t>При двухразовом питании (завтрак, обед)</t>
  </si>
  <si>
    <t>НОРМА ПИЩЕВЫХ ВЕЩЕСТВ И ЭНЕРГИИ ЗА НЕДЕЛЮ (завтрак, обед)(50-60%):</t>
  </si>
  <si>
    <t>45-54</t>
  </si>
  <si>
    <t>46-55</t>
  </si>
  <si>
    <t>192-230</t>
  </si>
  <si>
    <t>1360-1632</t>
  </si>
  <si>
    <t>НОРМА ПИЩЕВЫХ ВЕЩЕСТВ И ЭНЕРГИИ ЗА НЕДЕЛЮ (100%)*:</t>
  </si>
  <si>
    <t>* Нормы питания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</si>
  <si>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t>** Количество потребленных продуктов округлено до целого числа</t>
  </si>
  <si>
    <t>* - среднесуточные нормы продуктов питания указаны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</si>
  <si>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t xml:space="preserve">Кофейный напиток </t>
  </si>
  <si>
    <t>№253-2004, Пермь</t>
  </si>
  <si>
    <t>Каша "Янтарная" (из пшена с яблоками)</t>
  </si>
  <si>
    <t>№311-2004</t>
  </si>
  <si>
    <t>№269-2013, Пермь</t>
  </si>
  <si>
    <t>масса каши</t>
  </si>
  <si>
    <t>для сиропа:</t>
  </si>
  <si>
    <t>масса яблок припущенных с сиропом</t>
  </si>
  <si>
    <t xml:space="preserve"> №458-2006, Москва</t>
  </si>
  <si>
    <t xml:space="preserve">Фрукты в ассортименте </t>
  </si>
  <si>
    <t>№458-2006, Москва</t>
  </si>
  <si>
    <t xml:space="preserve">Щи из свежей капусты с картофелем, с мясными фрикадельками со сметаной  </t>
  </si>
  <si>
    <t xml:space="preserve"> №124-2004</t>
  </si>
  <si>
    <t>№152-2004, Пермь</t>
  </si>
  <si>
    <t>№518-2013, Пермь</t>
  </si>
  <si>
    <t>№2/10-2011, Екатеринбург</t>
  </si>
  <si>
    <t>№ 15/1-2011г., Екатеринбург</t>
  </si>
  <si>
    <t xml:space="preserve">Плов из говядины </t>
  </si>
  <si>
    <t>№443-2004</t>
  </si>
  <si>
    <t>№685-2004</t>
  </si>
  <si>
    <t xml:space="preserve">Чай с сахаром </t>
  </si>
  <si>
    <t>Винегрет овощной с фасолью</t>
  </si>
  <si>
    <t>№76-2013, Пермь</t>
  </si>
  <si>
    <t>№451-2004</t>
  </si>
  <si>
    <t>Компот из урюка</t>
  </si>
  <si>
    <t>№638-2004</t>
  </si>
  <si>
    <t xml:space="preserve">молоко питьевое </t>
  </si>
  <si>
    <t>Пюре картофельное</t>
  </si>
  <si>
    <t xml:space="preserve"> №520-2004</t>
  </si>
  <si>
    <t xml:space="preserve">Макаронные изделия отварные </t>
  </si>
  <si>
    <t>№516-2004</t>
  </si>
  <si>
    <t>Бутерброд с маслом</t>
  </si>
  <si>
    <t xml:space="preserve"> №1-2004</t>
  </si>
  <si>
    <t xml:space="preserve">Чай с лимоном </t>
  </si>
  <si>
    <t xml:space="preserve">№686-2004 </t>
  </si>
  <si>
    <t>№698-2004</t>
  </si>
  <si>
    <t xml:space="preserve">Салат из капусты белокочанной с морковью </t>
  </si>
  <si>
    <t>№4-2013, Пермь</t>
  </si>
  <si>
    <t>капуста белокочанная</t>
  </si>
  <si>
    <t xml:space="preserve">кислота лимонная </t>
  </si>
  <si>
    <t>вода для разведения лимонной кислоты</t>
  </si>
  <si>
    <t xml:space="preserve"> №129-1996</t>
  </si>
  <si>
    <t xml:space="preserve">Рыба запечённая с маслом </t>
  </si>
  <si>
    <t>№310-1996</t>
  </si>
  <si>
    <t xml:space="preserve">Компот из яблок и апельсин   </t>
  </si>
  <si>
    <t>№251-2001, Пермь</t>
  </si>
  <si>
    <t xml:space="preserve">Овощи свежие (огурцы) </t>
  </si>
  <si>
    <t>№70-2006, Москва</t>
  </si>
  <si>
    <t>огурцы свежие грунтовые</t>
  </si>
  <si>
    <t>или огурцы свежие парниковые</t>
  </si>
  <si>
    <t>Овощи консервированные без уксуса (огурцы)</t>
  </si>
  <si>
    <t xml:space="preserve"> №101-2004</t>
  </si>
  <si>
    <t xml:space="preserve">Овощи свежие или консервированные (помидоры) </t>
  </si>
  <si>
    <t xml:space="preserve">Салат "Несвижский" </t>
  </si>
  <si>
    <t xml:space="preserve">№63-2004 </t>
  </si>
  <si>
    <t>Капуста тушёная</t>
  </si>
  <si>
    <t>чеснок</t>
  </si>
  <si>
    <t xml:space="preserve"> №534-2004 </t>
  </si>
  <si>
    <t xml:space="preserve">Компот из кураги </t>
  </si>
  <si>
    <t>№284-1996</t>
  </si>
  <si>
    <t>Овощи на подгарнировку</t>
  </si>
  <si>
    <t>№244-2006,Москва</t>
  </si>
  <si>
    <t xml:space="preserve">Омлет натуральный с маслом   с подгарнировкой </t>
  </si>
  <si>
    <t xml:space="preserve">Бутерброд горячий с сыром </t>
  </si>
  <si>
    <t>№10-2004</t>
  </si>
  <si>
    <t>сыр</t>
  </si>
  <si>
    <t>Салат картофельный с зеленым горошком</t>
  </si>
  <si>
    <t>№65-2013, Пермь</t>
  </si>
  <si>
    <t>масса отварного картофеля</t>
  </si>
  <si>
    <t xml:space="preserve">Компот из свежемороженой  смородины </t>
  </si>
  <si>
    <t>№357-2002</t>
  </si>
  <si>
    <t>Суп картофельный с рыбными фрикадельками</t>
  </si>
  <si>
    <t>Чай с лимоном</t>
  </si>
  <si>
    <t xml:space="preserve"> №686-2004 </t>
  </si>
  <si>
    <t xml:space="preserve">Салат из  свеклы отварной с огурцами </t>
  </si>
  <si>
    <t>№21-2001, Пермь</t>
  </si>
  <si>
    <t xml:space="preserve">Суп лапша домашняя с курицей </t>
  </si>
  <si>
    <t>№148-2004</t>
  </si>
  <si>
    <t>фрикадельки мясные</t>
  </si>
  <si>
    <t xml:space="preserve"> №112-2004</t>
  </si>
  <si>
    <t xml:space="preserve">Овощи тушеные в соусе </t>
  </si>
  <si>
    <t>№18/3-2011, Екатеринбург</t>
  </si>
  <si>
    <t xml:space="preserve">Компот из сухофруктов  </t>
  </si>
  <si>
    <t>Овощи свежие  (помидоры, огурцы)</t>
  </si>
  <si>
    <t xml:space="preserve"> №14/1, 15/1-2011г., Екатеринбург</t>
  </si>
  <si>
    <t xml:space="preserve">Свекольник с мясными фрикадельками, со сметаной </t>
  </si>
  <si>
    <t>№34-2004, Пермь</t>
  </si>
  <si>
    <t xml:space="preserve">фрикадельки мясные </t>
  </si>
  <si>
    <t>№112-2004</t>
  </si>
  <si>
    <t xml:space="preserve">Рис отварной </t>
  </si>
  <si>
    <t>№511-2004</t>
  </si>
  <si>
    <t>Напиток из плодов шиповника</t>
  </si>
  <si>
    <t xml:space="preserve"> №705-2004 </t>
  </si>
  <si>
    <t>250/50</t>
  </si>
  <si>
    <t xml:space="preserve">Салат из консервированного огурца с луком </t>
  </si>
  <si>
    <t xml:space="preserve">№17-2004 </t>
  </si>
  <si>
    <t xml:space="preserve">Суп гороховый с гренками и мясом </t>
  </si>
  <si>
    <t>№139-2004</t>
  </si>
  <si>
    <t xml:space="preserve">Рыба, тушеная в томате с овощами </t>
  </si>
  <si>
    <t>№343-2013, Пермь</t>
  </si>
  <si>
    <t xml:space="preserve">Картофель толченый по деревенски </t>
  </si>
  <si>
    <t xml:space="preserve"> №208-2013, Пермь</t>
  </si>
  <si>
    <t xml:space="preserve">Компот из свежемороженой  вишни   </t>
  </si>
  <si>
    <t xml:space="preserve"> №357-2002</t>
  </si>
  <si>
    <t xml:space="preserve">Каша гречневая вязкая </t>
  </si>
  <si>
    <t>№302-2004</t>
  </si>
  <si>
    <t xml:space="preserve">Запеканка из творога со сгущённым молоком </t>
  </si>
  <si>
    <t>№366-2004</t>
  </si>
  <si>
    <t xml:space="preserve">Жаркое из птицы </t>
  </si>
  <si>
    <t xml:space="preserve">№446-1996 </t>
  </si>
  <si>
    <t xml:space="preserve">Жаркое по-домашнему  </t>
  </si>
  <si>
    <t>№ 436-2004</t>
  </si>
  <si>
    <t xml:space="preserve">Борщ из свежей капусты с картофелем, со сметаной с мясными фрикадельками </t>
  </si>
  <si>
    <t>№110-2004</t>
  </si>
  <si>
    <t xml:space="preserve">Бутерброд с джемом или повидлом </t>
  </si>
  <si>
    <t>№2-2004</t>
  </si>
  <si>
    <t>джем или повидло (без искусственных ароматизаторов, консервантов и красителей)</t>
  </si>
  <si>
    <t xml:space="preserve">батон </t>
  </si>
  <si>
    <t xml:space="preserve">Винегрет овощной </t>
  </si>
  <si>
    <t>№71-2004</t>
  </si>
  <si>
    <t>масса  отварной свеклы</t>
  </si>
  <si>
    <t>масса  отварной моркови</t>
  </si>
  <si>
    <t>Рацион питания детей в возрасте с 12 лет и старше</t>
  </si>
  <si>
    <r>
      <t xml:space="preserve">Овощи (свежие, мороженные, консервированные), </t>
    </r>
    <r>
      <rPr>
        <sz val="6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</si>
  <si>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</si>
  <si>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яблоки свежие (очищенные от кожицы, с удаленным семенным гнездом)</t>
  </si>
  <si>
    <t xml:space="preserve">Гуляш    </t>
  </si>
  <si>
    <t xml:space="preserve">Рассольник Ленинградский  с мясом и сметаной  </t>
  </si>
  <si>
    <t xml:space="preserve">Бутерброд с сыром </t>
  </si>
  <si>
    <t>№3-2004</t>
  </si>
  <si>
    <r>
      <t xml:space="preserve">Овощи (свежие, мороженные, консервированные), </t>
    </r>
    <r>
      <rPr>
        <sz val="6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</si>
  <si>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</si>
  <si>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крупа пшенная</t>
  </si>
  <si>
    <t>№93-2001, Пермь</t>
  </si>
  <si>
    <t xml:space="preserve">Каша "Дружба" </t>
  </si>
  <si>
    <t>или смородина свежемороженая</t>
  </si>
  <si>
    <t>или брусника свежемороженая</t>
  </si>
  <si>
    <t>Компот из свежих яблок с ягодами</t>
  </si>
  <si>
    <t>огурцы свежие парниковые</t>
  </si>
  <si>
    <t xml:space="preserve">  перец свежий</t>
  </si>
  <si>
    <t>капуста свежая белокочанная</t>
  </si>
  <si>
    <t>лимонная кислота</t>
  </si>
  <si>
    <t xml:space="preserve">Салат "Полонынский" </t>
  </si>
  <si>
    <t>№24-2004</t>
  </si>
  <si>
    <t>Кисель из свежих ягод</t>
  </si>
  <si>
    <t>крахмал</t>
  </si>
  <si>
    <t>Крахмал</t>
  </si>
  <si>
    <t>№505-2013, Пермь</t>
  </si>
  <si>
    <t xml:space="preserve">Салат из свежих помидоров </t>
  </si>
  <si>
    <t>№22-2013, Пермь</t>
  </si>
  <si>
    <t xml:space="preserve">масло растительное  </t>
  </si>
  <si>
    <t>фасоль зеленая стручковая замороженная</t>
  </si>
  <si>
    <t>масса вареной рыбы</t>
  </si>
  <si>
    <t xml:space="preserve">Уха рыбацкая </t>
  </si>
  <si>
    <t>№151-2013, Пермь</t>
  </si>
  <si>
    <t xml:space="preserve">  горбуша или кета потрошенная с головой (филе без кожи и костей)</t>
  </si>
  <si>
    <t>или  минтай потрошенный обезглавленный (филе с кожей без костей)</t>
  </si>
  <si>
    <t>Овощи свежие  (помидоры, огурцы) на подгарнировку</t>
  </si>
  <si>
    <t>Пюре картофельное с подгарнировкой (помидоры, огурцы)</t>
  </si>
  <si>
    <t>или кабачки</t>
  </si>
  <si>
    <t>или перец свежий</t>
  </si>
  <si>
    <t xml:space="preserve">Салат  из огурцов  </t>
  </si>
  <si>
    <t>14/1-2011, Екатеринбург</t>
  </si>
  <si>
    <t xml:space="preserve">  огурцы свежие грунтовые</t>
  </si>
  <si>
    <t xml:space="preserve">сметана </t>
  </si>
  <si>
    <t>№444-2013, Пермь</t>
  </si>
  <si>
    <t>Соус сметанный с томатом</t>
  </si>
  <si>
    <t>вишня свежемороженая</t>
  </si>
  <si>
    <t>или горошек зеленый свежемороженый</t>
  </si>
  <si>
    <t>или Овощная смесь свежемороженая</t>
  </si>
  <si>
    <t>или перец свежемороженый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</si>
  <si>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</t>
  </si>
  <si>
    <r>
      <t>Соки плодоовощные,</t>
    </r>
    <r>
      <rPr>
        <sz val="6"/>
        <rFont val="Arial"/>
        <family val="2"/>
      </rPr>
      <t xml:space="preserve"> напитки витаминизированные, в т.ч. инстантные</t>
    </r>
  </si>
  <si>
    <t>Овощи свежемороженые припущенные</t>
  </si>
  <si>
    <t>№524-2004</t>
  </si>
  <si>
    <t>или овощная смесь свежемороженая</t>
  </si>
  <si>
    <t>Шницель из мяса с маслом</t>
  </si>
  <si>
    <t xml:space="preserve">Котлеты из мяса с маслом </t>
  </si>
  <si>
    <t xml:space="preserve">Йогурт в ассортименте  </t>
  </si>
  <si>
    <t>лук репчатый использовать только до 1 марта, после 1 марта  лук репчатый исключить и увеличить закладку других овощей до необходимого выхода блюда</t>
  </si>
  <si>
    <t>Салат картофельный с кукурузой и морковью</t>
  </si>
  <si>
    <t>№73-2013, Пермь</t>
  </si>
  <si>
    <t>кукуруза  консервированная (после термической обработки)</t>
  </si>
  <si>
    <t>морковь до 01.01 - 20%</t>
  </si>
  <si>
    <t>масса отварной моркови</t>
  </si>
  <si>
    <t>Овощи свежие или консервированные (помидоры) на подгарнировку</t>
  </si>
  <si>
    <t>или лимон для сока</t>
  </si>
  <si>
    <t>зелень свежая (петрушка, укроп)</t>
  </si>
  <si>
    <t xml:space="preserve">Салат из белокочанной капусты с огурцами свежими </t>
  </si>
  <si>
    <t>№5-2013, Пермь</t>
  </si>
  <si>
    <t>масса капусты, стертой с солью</t>
  </si>
  <si>
    <t xml:space="preserve"> 8 день</t>
  </si>
  <si>
    <t xml:space="preserve"> 9 день </t>
  </si>
  <si>
    <t>крупа перловая</t>
  </si>
  <si>
    <t xml:space="preserve">Суп крестьянский с крупой с мясом и сметаной  </t>
  </si>
  <si>
    <t>№154-2013, Пермь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</si>
  <si>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(калорийности) на отдельные приемы пищи,
 таблицу суммарных объемов блюд по приемам пищи (в граммах - не менее)</t>
  </si>
  <si>
    <t xml:space="preserve">Омлет натуральный с маслом с подгарнировкой </t>
  </si>
  <si>
    <t>горбуша или кета потрошенная с головой (филе с кожей без костей)</t>
  </si>
  <si>
    <t>или горбуша или кета неразделанная (филе с кожей без костей)</t>
  </si>
  <si>
    <t>или минтай потрошенный обезглавленный (филе с кожей без костей)</t>
  </si>
  <si>
    <t>масса готовой рыбы</t>
  </si>
  <si>
    <t>для масляно-сырной смеси</t>
  </si>
  <si>
    <t>№486-1997</t>
  </si>
  <si>
    <t>Тефтели из печени с соусом</t>
  </si>
  <si>
    <t>масса отварного рассыпчатого риса</t>
  </si>
  <si>
    <t>№321-2013, Пермь</t>
  </si>
  <si>
    <t xml:space="preserve">крупа манная </t>
  </si>
  <si>
    <t xml:space="preserve">яйцо куриное </t>
  </si>
  <si>
    <t xml:space="preserve">мука пшеничная </t>
  </si>
  <si>
    <t>масса готовых сырников (3 шт. по 60 г)</t>
  </si>
  <si>
    <t>молоко сгущенное  с сахаром</t>
  </si>
  <si>
    <t>ТТК, ТК №2</t>
  </si>
  <si>
    <t xml:space="preserve">Картофель тушеный  </t>
  </si>
  <si>
    <t>№216-2004</t>
  </si>
  <si>
    <t>ТТК, ТК №4</t>
  </si>
  <si>
    <t>огурцы консервированные</t>
  </si>
  <si>
    <t>маслины</t>
  </si>
  <si>
    <t xml:space="preserve">Каша 5 злаков жидкая </t>
  </si>
  <si>
    <t>крупа (овсяная, кукурузная, пшеничная, ячневая, гречневая)</t>
  </si>
  <si>
    <t>или хлопья промышленного производства "5 злаков"</t>
  </si>
  <si>
    <t xml:space="preserve">Биточки из мяса с маслом </t>
  </si>
  <si>
    <t>35</t>
  </si>
  <si>
    <t xml:space="preserve">хлеб пшеничный </t>
  </si>
  <si>
    <t>вода  кипяченая для концентрированного молока</t>
  </si>
  <si>
    <t>вода  кипяченая для сухого молока</t>
  </si>
  <si>
    <t>масло растительное для смазки емкости</t>
  </si>
  <si>
    <t>Фрикадельки из кур и говядины</t>
  </si>
  <si>
    <t>№410-2013, Пермь</t>
  </si>
  <si>
    <t xml:space="preserve">Шницель из птицы с маслом  </t>
  </si>
  <si>
    <t>№54-24м-2020-2021, Новосибирск</t>
  </si>
  <si>
    <t xml:space="preserve">Борщ "Сибирский" с мясом со сметаной  </t>
  </si>
  <si>
    <t>№111-2004</t>
  </si>
  <si>
    <t>свекла - до 01.01 -20%</t>
  </si>
  <si>
    <t>фасоль</t>
  </si>
  <si>
    <t>томатное пюре (без искусственных ароматизаторов, красителей и консервантов, без содержания крахмала и соли)</t>
  </si>
  <si>
    <t xml:space="preserve">Суфле творожное со сладкой глазурью  </t>
  </si>
  <si>
    <t>№19/3-2011, Екатеринбург</t>
  </si>
  <si>
    <t>джем промышленного производства (без искусственных ароматизаторов, красителей и консервантов)</t>
  </si>
  <si>
    <t>масло сливочное на смазку емкости</t>
  </si>
  <si>
    <t>Макаронные изделия отварные с сыром, с маслом</t>
  </si>
  <si>
    <t>200/5</t>
  </si>
  <si>
    <t>№295-2013, Пермь</t>
  </si>
  <si>
    <t>масса отварных макаронных изделий</t>
  </si>
  <si>
    <t>масло сливочное на полив при подаче</t>
  </si>
  <si>
    <t>№498-2004</t>
  </si>
  <si>
    <t xml:space="preserve">  филе куриное или индейки</t>
  </si>
  <si>
    <t>или грудка куриная (разделка на мякоть без кожи)</t>
  </si>
  <si>
    <t>дрожжи прессованные</t>
  </si>
  <si>
    <t>или дрожжи сухие</t>
  </si>
  <si>
    <t>яйцо для смазки изделия</t>
  </si>
  <si>
    <t>№452-2004</t>
  </si>
  <si>
    <t>свинина мясная</t>
  </si>
  <si>
    <t>филе индейки</t>
  </si>
  <si>
    <t>сухари пшеничные</t>
  </si>
  <si>
    <t>Зразы рубленные из индейки с сыром</t>
  </si>
  <si>
    <t>100</t>
  </si>
  <si>
    <t>№54-23м-2020, 2021, Новосибирск</t>
  </si>
  <si>
    <t>филе грудки индейки</t>
  </si>
  <si>
    <t>Птица, в соусе с томатом</t>
  </si>
  <si>
    <t>№405-2013, Пермь</t>
  </si>
  <si>
    <t>томатная паста (без искусственных ароматизаторов, красителей и консервантов, без содержания крахмала и соли)</t>
  </si>
  <si>
    <t xml:space="preserve">филе куриное или филе грудки индейки </t>
  </si>
  <si>
    <t>масса тушеной мякоти птицы</t>
  </si>
  <si>
    <t>Биточки рубленные из птицы запеченные с маслом</t>
  </si>
  <si>
    <t>№14/2-2011, Екатеринбург</t>
  </si>
  <si>
    <t xml:space="preserve">Суп из овощей с яйцом, с курицей  </t>
  </si>
  <si>
    <t>ИЛИ Суп из овощей с яйцом, с мясом</t>
  </si>
  <si>
    <t>Котлеты из мяса</t>
  </si>
  <si>
    <t>Шницель из мяса</t>
  </si>
  <si>
    <t xml:space="preserve">Печень, тушеная в соусе </t>
  </si>
  <si>
    <t>№401-2013, Пермь</t>
  </si>
  <si>
    <t>масса тушеной печени</t>
  </si>
  <si>
    <t xml:space="preserve">соус сметанный </t>
  </si>
  <si>
    <t>№442-2013, Пермь</t>
  </si>
  <si>
    <t>Кондитерское изделие промышленного производства в ассортименте</t>
  </si>
  <si>
    <t>Яйца   вареные</t>
  </si>
  <si>
    <t>№300-2013, Пермь</t>
  </si>
  <si>
    <t xml:space="preserve">Какао с молоком </t>
  </si>
  <si>
    <t>№642-1996</t>
  </si>
  <si>
    <t>макаронные изделия</t>
  </si>
  <si>
    <t>10</t>
  </si>
  <si>
    <t xml:space="preserve"> 12-ти ДНЕВНОЕ МЕНЮ №2345 от 16.06.2022 г.</t>
  </si>
  <si>
    <t xml:space="preserve">НАКОПИТЕЛЬНАЯ ВЕДОМОСТЬ к меню №2345 от 16.06.2022 г. для питания детей школьного возраста с 12 лет и старше </t>
  </si>
  <si>
    <t xml:space="preserve"> №416-1996</t>
  </si>
  <si>
    <t>молоко питьевое или вода питьевая</t>
  </si>
  <si>
    <t>Биточки особые (из свинины мясной и филе индейки) с маслом</t>
  </si>
  <si>
    <t>Котлеты из мяса по-домашнему (свинина мясная и говядина) с маслом</t>
  </si>
  <si>
    <t>250/20/5</t>
  </si>
  <si>
    <t>20/20</t>
  </si>
  <si>
    <t xml:space="preserve">Овощи свежемороженые припущенные </t>
  </si>
  <si>
    <t>Рыба запеченная с сыром (Технико - технологическая карта № 1, разработана АУ ТО "Центр технологического контроля")</t>
  </si>
  <si>
    <t>ТТК, ТК № 1</t>
  </si>
  <si>
    <t xml:space="preserve">Сырники из творога запечённые с молоком сгущенным  </t>
  </si>
  <si>
    <t>Куриные мячики с маслом (Технико - технологическая карта № 3, разработана АУ ТО "Центр технологического контроля")</t>
  </si>
  <si>
    <t>ТТК, ТК №3</t>
  </si>
  <si>
    <t>Салат "Пестрый" (Технико - технологическая карта №2, разработана АУ ТО "Центр технологического контроля")</t>
  </si>
  <si>
    <t>Солянка из мяса со сметаной (Технико - технологическая карта №4, разработана АУ ТО "Центр технологического контроля")</t>
  </si>
  <si>
    <t>Сырная палочка (Технико - технологическая карта №5, разработана АУ ТО "Центр технологического контроля")</t>
  </si>
  <si>
    <t>ТТК, ТК5</t>
  </si>
  <si>
    <t>Сок в ассортименте</t>
  </si>
  <si>
    <t xml:space="preserve">ИЛИ Суп-лапша домашняя, с мясными фрикадельками </t>
  </si>
  <si>
    <t xml:space="preserve">лапша домашняя </t>
  </si>
  <si>
    <t>№549-2004</t>
  </si>
  <si>
    <t>капуста старого урожая используется в сыром виде до 1 марта, с 1 марта только капуста нового урожая</t>
  </si>
  <si>
    <t>№639-2004</t>
  </si>
  <si>
    <t>капуста и морковь старого урожая используется в сыром виде до 1 марта, с 1 марта только капуста и морковь нового урожая или другой салат</t>
  </si>
  <si>
    <t>масса отварной печени</t>
  </si>
  <si>
    <t xml:space="preserve"> №41-2001, Пермь</t>
  </si>
  <si>
    <t>масса тушеной птицы (порционные кусочки)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</si>
</sst>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  <numFmt numFmtId="204" formatCode="0.000000"/>
  </numFmts>
  <fonts count="71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sz val="7"/>
      <name val="Arial Cyr"/>
      <family val="0"/>
    </font>
    <font>
      <b/>
      <sz val="12"/>
      <name val="Arial Cyr"/>
      <family val="0"/>
    </font>
    <font>
      <i/>
      <u val="single"/>
      <sz val="11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" borderId="2" applyNumberFormat="0" applyAlignment="0" applyProtection="0"/>
    <xf numFmtId="0" fontId="61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0" borderId="7" applyNumberFormat="0" applyAlignment="0" applyProtection="0"/>
    <xf numFmtId="0" fontId="8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5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1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92" fontId="12" fillId="2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2" fontId="9" fillId="0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192" fontId="2" fillId="26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5" fillId="26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92" fontId="2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11" fillId="26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92" fontId="11" fillId="26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192" fontId="3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0" fontId="2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2" fontId="18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0" fontId="19" fillId="0" borderId="0" xfId="55" applyFont="1" applyFill="1" applyBorder="1">
      <alignment/>
      <protection/>
    </xf>
    <xf numFmtId="0" fontId="0" fillId="26" borderId="0" xfId="0" applyFont="1" applyFill="1" applyAlignment="1">
      <alignment/>
    </xf>
    <xf numFmtId="192" fontId="12" fillId="0" borderId="10" xfId="0" applyNumberFormat="1" applyFont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192" fontId="19" fillId="2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0" fillId="0" borderId="10" xfId="55" applyNumberFormat="1" applyFont="1" applyFill="1" applyBorder="1" applyAlignment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1" fontId="12" fillId="0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" fontId="19" fillId="26" borderId="10" xfId="55" applyNumberFormat="1" applyFont="1" applyFill="1" applyBorder="1" applyAlignment="1">
      <alignment horizontal="center" vertical="center"/>
      <protection/>
    </xf>
    <xf numFmtId="0" fontId="0" fillId="27" borderId="10" xfId="0" applyFont="1" applyFill="1" applyBorder="1" applyAlignment="1">
      <alignment horizontal="right" vertical="center" wrapText="1"/>
    </xf>
    <xf numFmtId="0" fontId="70" fillId="26" borderId="0" xfId="0" applyFont="1" applyFill="1" applyAlignment="1">
      <alignment/>
    </xf>
    <xf numFmtId="0" fontId="3" fillId="26" borderId="10" xfId="0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10" xfId="0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92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 wrapText="1"/>
    </xf>
    <xf numFmtId="0" fontId="0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0" fillId="26" borderId="0" xfId="0" applyNumberFormat="1" applyFont="1" applyFill="1" applyAlignment="1">
      <alignment/>
    </xf>
    <xf numFmtId="194" fontId="0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 vertical="center"/>
    </xf>
    <xf numFmtId="1" fontId="2" fillId="26" borderId="0" xfId="0" applyNumberFormat="1" applyFont="1" applyFill="1" applyAlignment="1">
      <alignment/>
    </xf>
    <xf numFmtId="0" fontId="0" fillId="26" borderId="10" xfId="55" applyFont="1" applyFill="1" applyBorder="1" applyAlignment="1">
      <alignment horizontal="right" vertical="center"/>
      <protection/>
    </xf>
    <xf numFmtId="2" fontId="18" fillId="26" borderId="0" xfId="55" applyNumberFormat="1" applyFont="1" applyFill="1" applyBorder="1" applyAlignment="1">
      <alignment horizontal="center"/>
      <protection/>
    </xf>
    <xf numFmtId="1" fontId="3" fillId="26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1" fontId="15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9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9" fillId="26" borderId="10" xfId="0" applyFont="1" applyFill="1" applyBorder="1" applyAlignment="1">
      <alignment horizontal="center" vertical="center"/>
    </xf>
    <xf numFmtId="1" fontId="19" fillId="2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192" fontId="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192" fontId="2" fillId="26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center"/>
    </xf>
    <xf numFmtId="2" fontId="0" fillId="26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Alignment="1">
      <alignment horizontal="center"/>
    </xf>
    <xf numFmtId="0" fontId="19" fillId="26" borderId="10" xfId="0" applyFont="1" applyFill="1" applyBorder="1" applyAlignment="1">
      <alignment vertical="center"/>
    </xf>
    <xf numFmtId="0" fontId="13" fillId="27" borderId="10" xfId="0" applyFont="1" applyFill="1" applyBorder="1" applyAlignment="1">
      <alignment horizontal="right" vertical="center"/>
    </xf>
    <xf numFmtId="1" fontId="20" fillId="26" borderId="10" xfId="0" applyNumberFormat="1" applyFont="1" applyFill="1" applyBorder="1" applyAlignment="1">
      <alignment horizontal="center" vertical="center"/>
    </xf>
    <xf numFmtId="1" fontId="3" fillId="26" borderId="10" xfId="0" applyNumberFormat="1" applyFont="1" applyFill="1" applyBorder="1" applyAlignment="1">
      <alignment horizontal="center" vertical="center"/>
    </xf>
    <xf numFmtId="0" fontId="21" fillId="0" borderId="10" xfId="56" applyFont="1" applyBorder="1" applyAlignment="1">
      <alignment horizontal="right" vertical="center" wrapText="1"/>
      <protection/>
    </xf>
    <xf numFmtId="1" fontId="21" fillId="0" borderId="10" xfId="56" applyNumberFormat="1" applyFont="1" applyBorder="1" applyAlignment="1">
      <alignment horizontal="center" vertical="center"/>
      <protection/>
    </xf>
    <xf numFmtId="1" fontId="22" fillId="0" borderId="10" xfId="0" applyNumberFormat="1" applyFont="1" applyBorder="1" applyAlignment="1">
      <alignment horizontal="center" vertical="center"/>
    </xf>
    <xf numFmtId="192" fontId="22" fillId="26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21" fillId="0" borderId="10" xfId="56" applyNumberFormat="1" applyFont="1" applyBorder="1" applyAlignment="1">
      <alignment horizontal="center" vertical="center"/>
      <protection/>
    </xf>
    <xf numFmtId="192" fontId="9" fillId="0" borderId="0" xfId="0" applyNumberFormat="1" applyFont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/>
    </xf>
    <xf numFmtId="0" fontId="13" fillId="0" borderId="10" xfId="56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 vertical="center" wrapText="1"/>
      <protection/>
    </xf>
    <xf numFmtId="1" fontId="21" fillId="0" borderId="10" xfId="56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1" fontId="13" fillId="0" borderId="10" xfId="56" applyNumberFormat="1" applyFont="1" applyBorder="1" applyAlignment="1">
      <alignment horizontal="center" vertical="center"/>
      <protection/>
    </xf>
    <xf numFmtId="0" fontId="14" fillId="26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horizontal="center"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" fontId="20" fillId="26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2" fontId="9" fillId="26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26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192" fontId="18" fillId="0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0" xfId="0" applyNumberFormat="1" applyFont="1" applyFill="1" applyBorder="1" applyAlignment="1">
      <alignment horizontal="center" vertical="center"/>
    </xf>
    <xf numFmtId="1" fontId="2" fillId="26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right" vertical="center" wrapText="1"/>
    </xf>
    <xf numFmtId="192" fontId="0" fillId="2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>
      <alignment horizontal="center" vertical="center"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92" fontId="24" fillId="26" borderId="0" xfId="0" applyNumberFormat="1" applyFont="1" applyFill="1" applyBorder="1" applyAlignment="1">
      <alignment horizontal="center" vertical="center"/>
    </xf>
    <xf numFmtId="192" fontId="24" fillId="26" borderId="0" xfId="0" applyNumberFormat="1" applyFont="1" applyFill="1" applyBorder="1" applyAlignment="1" applyProtection="1">
      <alignment horizontal="center" vertical="center"/>
      <protection/>
    </xf>
    <xf numFmtId="192" fontId="24" fillId="0" borderId="0" xfId="0" applyNumberFormat="1" applyFont="1" applyBorder="1" applyAlignment="1">
      <alignment horizontal="center"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1" fontId="23" fillId="0" borderId="0" xfId="0" applyNumberFormat="1" applyFont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49" fontId="23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lef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92" fontId="23" fillId="0" borderId="0" xfId="0" applyNumberFormat="1" applyFont="1" applyBorder="1" applyAlignment="1" applyProtection="1">
      <alignment horizontal="center" vertical="center"/>
      <protection/>
    </xf>
    <xf numFmtId="1" fontId="23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9" fontId="2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top"/>
    </xf>
    <xf numFmtId="192" fontId="9" fillId="0" borderId="10" xfId="0" applyNumberFormat="1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 wrapText="1"/>
    </xf>
    <xf numFmtId="1" fontId="3" fillId="26" borderId="16" xfId="0" applyNumberFormat="1" applyFont="1" applyFill="1" applyBorder="1" applyAlignment="1">
      <alignment horizontal="center" vertical="center"/>
    </xf>
    <xf numFmtId="1" fontId="3" fillId="26" borderId="17" xfId="0" applyNumberFormat="1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7" fillId="26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5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left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192" fontId="13" fillId="0" borderId="10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0" fontId="14" fillId="26" borderId="0" xfId="0" applyFont="1" applyFill="1" applyBorder="1" applyAlignment="1">
      <alignment vertical="center"/>
    </xf>
    <xf numFmtId="1" fontId="28" fillId="26" borderId="0" xfId="0" applyNumberFormat="1" applyFont="1" applyFill="1" applyBorder="1" applyAlignment="1">
      <alignment horizontal="center" vertical="top"/>
    </xf>
    <xf numFmtId="1" fontId="28" fillId="26" borderId="0" xfId="0" applyNumberFormat="1" applyFont="1" applyFill="1" applyBorder="1" applyAlignment="1">
      <alignment vertical="top"/>
    </xf>
    <xf numFmtId="0" fontId="14" fillId="26" borderId="0" xfId="0" applyFont="1" applyFill="1" applyBorder="1" applyAlignment="1">
      <alignment vertical="center" wrapText="1"/>
    </xf>
    <xf numFmtId="0" fontId="14" fillId="26" borderId="0" xfId="0" applyFont="1" applyFill="1" applyBorder="1" applyAlignment="1">
      <alignment horizontal="left" vertical="center" wrapText="1"/>
    </xf>
    <xf numFmtId="0" fontId="14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15" fillId="26" borderId="10" xfId="0" applyFont="1" applyFill="1" applyBorder="1" applyAlignment="1">
      <alignment horizontal="center" vertical="center"/>
    </xf>
    <xf numFmtId="0" fontId="16" fillId="26" borderId="0" xfId="0" applyFont="1" applyFill="1" applyAlignment="1">
      <alignment/>
    </xf>
    <xf numFmtId="0" fontId="14" fillId="26" borderId="10" xfId="0" applyFont="1" applyFill="1" applyBorder="1" applyAlignment="1">
      <alignment horizontal="left" vertical="center" wrapText="1"/>
    </xf>
    <xf numFmtId="0" fontId="35" fillId="26" borderId="10" xfId="0" applyFont="1" applyFill="1" applyBorder="1" applyAlignment="1">
      <alignment horizontal="center" vertical="center" wrapText="1"/>
    </xf>
    <xf numFmtId="192" fontId="26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0" fontId="14" fillId="26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center"/>
    </xf>
    <xf numFmtId="2" fontId="19" fillId="26" borderId="10" xfId="5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 wrapText="1"/>
    </xf>
    <xf numFmtId="192" fontId="9" fillId="26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1" fontId="0" fillId="26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vertical="center"/>
    </xf>
    <xf numFmtId="192" fontId="0" fillId="26" borderId="0" xfId="0" applyNumberFormat="1" applyFont="1" applyFill="1" applyBorder="1" applyAlignment="1">
      <alignment vertical="center"/>
    </xf>
    <xf numFmtId="19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26" borderId="10" xfId="0" applyFont="1" applyFill="1" applyBorder="1" applyAlignment="1">
      <alignment horizontal="center" vertical="center" wrapText="1"/>
    </xf>
    <xf numFmtId="192" fontId="36" fillId="0" borderId="10" xfId="0" applyNumberFormat="1" applyFont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92" fontId="9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/>
    </xf>
    <xf numFmtId="192" fontId="31" fillId="26" borderId="10" xfId="0" applyNumberFormat="1" applyFont="1" applyFill="1" applyBorder="1" applyAlignment="1">
      <alignment horizontal="center" vertical="center"/>
    </xf>
    <xf numFmtId="192" fontId="31" fillId="26" borderId="10" xfId="0" applyNumberFormat="1" applyFont="1" applyFill="1" applyBorder="1" applyAlignment="1">
      <alignment horizontal="center" vertical="center" wrapText="1"/>
    </xf>
    <xf numFmtId="192" fontId="17" fillId="2" borderId="10" xfId="0" applyNumberFormat="1" applyFont="1" applyFill="1" applyBorder="1" applyAlignment="1">
      <alignment horizontal="center" vertical="center" wrapText="1"/>
    </xf>
    <xf numFmtId="192" fontId="36" fillId="2" borderId="10" xfId="0" applyNumberFormat="1" applyFont="1" applyFill="1" applyBorder="1" applyAlignment="1">
      <alignment horizontal="center" vertical="center" wrapText="1"/>
    </xf>
    <xf numFmtId="1" fontId="9" fillId="26" borderId="10" xfId="0" applyNumberFormat="1" applyFont="1" applyFill="1" applyBorder="1" applyAlignment="1">
      <alignment horizontal="center" vertical="center" wrapText="1"/>
    </xf>
    <xf numFmtId="192" fontId="36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17" fillId="26" borderId="10" xfId="55" applyNumberFormat="1" applyFont="1" applyFill="1" applyBorder="1" applyAlignment="1">
      <alignment horizontal="center" vertical="center" wrapText="1"/>
      <protection/>
    </xf>
    <xf numFmtId="1" fontId="36" fillId="26" borderId="10" xfId="0" applyNumberFormat="1" applyFont="1" applyFill="1" applyBorder="1" applyAlignment="1">
      <alignment horizontal="center" vertical="center" wrapText="1"/>
    </xf>
    <xf numFmtId="1" fontId="9" fillId="26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36" fillId="2" borderId="10" xfId="0" applyNumberFormat="1" applyFont="1" applyFill="1" applyBorder="1" applyAlignment="1">
      <alignment horizontal="center" vertical="center" wrapText="1"/>
    </xf>
    <xf numFmtId="192" fontId="36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27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center" vertical="center" wrapText="1"/>
    </xf>
    <xf numFmtId="192" fontId="3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Border="1" applyAlignment="1">
      <alignment horizontal="center" vertical="center" wrapText="1"/>
    </xf>
    <xf numFmtId="192" fontId="9" fillId="26" borderId="10" xfId="55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92" fontId="17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92" fontId="17" fillId="0" borderId="10" xfId="55" applyNumberFormat="1" applyFont="1" applyFill="1" applyBorder="1" applyAlignment="1">
      <alignment horizontal="center" vertical="center" wrapText="1"/>
      <protection/>
    </xf>
    <xf numFmtId="192" fontId="17" fillId="0" borderId="10" xfId="55" applyNumberFormat="1" applyFont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 wrapText="1"/>
    </xf>
    <xf numFmtId="192" fontId="9" fillId="26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wrapText="1"/>
    </xf>
    <xf numFmtId="0" fontId="23" fillId="26" borderId="14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4" fillId="26" borderId="11" xfId="0" applyFont="1" applyFill="1" applyBorder="1" applyAlignment="1">
      <alignment vertical="center" wrapText="1"/>
    </xf>
    <xf numFmtId="0" fontId="14" fillId="26" borderId="11" xfId="0" applyFont="1" applyFill="1" applyBorder="1" applyAlignment="1">
      <alignment vertical="center"/>
    </xf>
    <xf numFmtId="0" fontId="14" fillId="26" borderId="11" xfId="0" applyFont="1" applyFill="1" applyBorder="1" applyAlignment="1">
      <alignment horizontal="left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top"/>
    </xf>
    <xf numFmtId="2" fontId="17" fillId="26" borderId="10" xfId="0" applyNumberFormat="1" applyFont="1" applyFill="1" applyBorder="1" applyAlignment="1">
      <alignment horizontal="center" vertical="center" wrapText="1"/>
    </xf>
    <xf numFmtId="2" fontId="15" fillId="26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3" fillId="26" borderId="13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0" fillId="25" borderId="10" xfId="55" applyNumberFormat="1" applyFont="1" applyFill="1" applyBorder="1" applyAlignment="1">
      <alignment horizontal="center" vertical="center"/>
      <protection/>
    </xf>
    <xf numFmtId="192" fontId="0" fillId="0" borderId="10" xfId="0" applyNumberFormat="1" applyFont="1" applyFill="1" applyBorder="1" applyAlignment="1">
      <alignment vertical="center"/>
    </xf>
    <xf numFmtId="0" fontId="0" fillId="27" borderId="10" xfId="0" applyFont="1" applyFill="1" applyBorder="1" applyAlignment="1">
      <alignment horizontal="right" vertical="center"/>
    </xf>
    <xf numFmtId="192" fontId="38" fillId="26" borderId="10" xfId="0" applyNumberFormat="1" applyFont="1" applyFill="1" applyBorder="1" applyAlignment="1">
      <alignment horizontal="center" vertical="center"/>
    </xf>
    <xf numFmtId="2" fontId="27" fillId="26" borderId="10" xfId="0" applyNumberFormat="1" applyFont="1" applyFill="1" applyBorder="1" applyAlignment="1">
      <alignment horizontal="center" vertical="center"/>
    </xf>
    <xf numFmtId="2" fontId="17" fillId="26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192" fontId="36" fillId="26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/>
    </xf>
    <xf numFmtId="192" fontId="16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2" fontId="39" fillId="2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" fontId="0" fillId="26" borderId="10" xfId="0" applyNumberFormat="1" applyFont="1" applyFill="1" applyBorder="1" applyAlignment="1" applyProtection="1">
      <alignment horizontal="center" vertical="center"/>
      <protection/>
    </xf>
    <xf numFmtId="2" fontId="2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92" fontId="3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192" fontId="0" fillId="26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192" fontId="0" fillId="26" borderId="10" xfId="0" applyNumberFormat="1" applyFont="1" applyFill="1" applyBorder="1" applyAlignment="1">
      <alignment/>
    </xf>
    <xf numFmtId="1" fontId="0" fillId="26" borderId="10" xfId="0" applyNumberFormat="1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0" fontId="13" fillId="26" borderId="10" xfId="56" applyFont="1" applyFill="1" applyBorder="1" applyAlignment="1">
      <alignment horizontal="right" vertical="center"/>
      <protection/>
    </xf>
    <xf numFmtId="1" fontId="13" fillId="26" borderId="10" xfId="56" applyNumberFormat="1" applyFont="1" applyFill="1" applyBorder="1" applyAlignment="1">
      <alignment horizontal="center" vertical="center"/>
      <protection/>
    </xf>
    <xf numFmtId="0" fontId="16" fillId="26" borderId="10" xfId="0" applyFont="1" applyFill="1" applyBorder="1" applyAlignment="1">
      <alignment horizontal="right" vertical="center" wrapText="1"/>
    </xf>
    <xf numFmtId="1" fontId="16" fillId="26" borderId="10" xfId="0" applyNumberFormat="1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2" fontId="20" fillId="26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9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 wrapText="1"/>
    </xf>
    <xf numFmtId="2" fontId="38" fillId="26" borderId="10" xfId="0" applyNumberFormat="1" applyFont="1" applyFill="1" applyBorder="1" applyAlignment="1">
      <alignment vertical="center" wrapText="1"/>
    </xf>
    <xf numFmtId="1" fontId="11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1" fontId="25" fillId="26" borderId="10" xfId="0" applyNumberFormat="1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vertical="center"/>
    </xf>
    <xf numFmtId="2" fontId="14" fillId="26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2" fontId="15" fillId="0" borderId="10" xfId="0" applyNumberFormat="1" applyFont="1" applyBorder="1" applyAlignment="1">
      <alignment horizontal="center" vertical="center" wrapText="1"/>
    </xf>
    <xf numFmtId="192" fontId="13" fillId="26" borderId="10" xfId="56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right" vertical="center"/>
      <protection/>
    </xf>
    <xf numFmtId="2" fontId="3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92" fontId="13" fillId="0" borderId="10" xfId="56" applyNumberFormat="1" applyFont="1" applyBorder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2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6" borderId="10" xfId="55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92" fontId="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26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26" borderId="1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26" borderId="0" xfId="0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 wrapText="1"/>
    </xf>
    <xf numFmtId="1" fontId="31" fillId="0" borderId="26" xfId="0" applyNumberFormat="1" applyFont="1" applyFill="1" applyBorder="1" applyAlignment="1">
      <alignment horizontal="center" vertical="center" wrapText="1"/>
    </xf>
    <xf numFmtId="1" fontId="31" fillId="0" borderId="25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3"/>
  <sheetViews>
    <sheetView tabSelected="1" view="pageBreakPreview" zoomScaleSheetLayoutView="100" workbookViewId="0" topLeftCell="A1192">
      <selection activeCell="E895" sqref="E895"/>
    </sheetView>
  </sheetViews>
  <sheetFormatPr defaultColWidth="9.140625" defaultRowHeight="24.75" customHeight="1" outlineLevelCol="1"/>
  <cols>
    <col min="1" max="1" width="58.57421875" style="162" customWidth="1"/>
    <col min="2" max="3" width="10.00390625" style="163" customWidth="1"/>
    <col min="4" max="4" width="10.7109375" style="163" customWidth="1"/>
    <col min="5" max="7" width="10.7109375" style="223" customWidth="1"/>
    <col min="8" max="8" width="12.8515625" style="223" customWidth="1"/>
    <col min="9" max="9" width="11.00390625" style="411" customWidth="1"/>
    <col min="10" max="10" width="9.140625" style="9" customWidth="1"/>
    <col min="11" max="12" width="9.140625" style="9" hidden="1" customWidth="1" outlineLevel="1"/>
    <col min="13" max="13" width="9.140625" style="0" customWidth="1" collapsed="1"/>
    <col min="14" max="14" width="8.8515625" style="0" customWidth="1"/>
    <col min="15" max="20" width="9.140625" style="0" customWidth="1"/>
  </cols>
  <sheetData>
    <row r="1" spans="1:12" s="12" customFormat="1" ht="45" customHeight="1">
      <c r="A1" s="560" t="s">
        <v>209</v>
      </c>
      <c r="B1" s="560"/>
      <c r="C1" s="560"/>
      <c r="D1" s="560"/>
      <c r="E1" s="560"/>
      <c r="F1" s="560"/>
      <c r="G1" s="560"/>
      <c r="H1" s="561"/>
      <c r="I1" s="560"/>
      <c r="J1" s="80"/>
      <c r="K1" s="80"/>
      <c r="L1" s="80"/>
    </row>
    <row r="2" spans="1:9" s="9" customFormat="1" ht="30" customHeight="1">
      <c r="A2" s="562" t="s">
        <v>210</v>
      </c>
      <c r="B2" s="562"/>
      <c r="C2" s="562"/>
      <c r="D2" s="562"/>
      <c r="E2" s="562"/>
      <c r="F2" s="562"/>
      <c r="G2" s="562"/>
      <c r="H2" s="563"/>
      <c r="I2" s="562"/>
    </row>
    <row r="3" spans="1:12" s="9" customFormat="1" ht="30" customHeight="1">
      <c r="A3" s="563" t="s">
        <v>505</v>
      </c>
      <c r="B3" s="563"/>
      <c r="C3" s="563"/>
      <c r="D3" s="563"/>
      <c r="E3" s="563"/>
      <c r="F3" s="563"/>
      <c r="G3" s="563"/>
      <c r="H3" s="563"/>
      <c r="I3" s="563"/>
      <c r="L3" s="1"/>
    </row>
    <row r="4" spans="1:9" s="9" customFormat="1" ht="56.25" customHeight="1">
      <c r="A4" s="564" t="s">
        <v>419</v>
      </c>
      <c r="B4" s="564"/>
      <c r="C4" s="564"/>
      <c r="D4" s="564"/>
      <c r="E4" s="564"/>
      <c r="F4" s="564"/>
      <c r="G4" s="564"/>
      <c r="H4" s="564"/>
      <c r="I4" s="564"/>
    </row>
    <row r="5" spans="1:10" s="2" customFormat="1" ht="30" customHeight="1">
      <c r="A5" s="510" t="s">
        <v>75</v>
      </c>
      <c r="B5" s="510"/>
      <c r="C5" s="510"/>
      <c r="D5" s="510"/>
      <c r="E5" s="510"/>
      <c r="F5" s="510"/>
      <c r="G5" s="510"/>
      <c r="H5" s="510"/>
      <c r="I5" s="510"/>
      <c r="J5" s="80"/>
    </row>
    <row r="6" spans="1:10" s="1" customFormat="1" ht="30" customHeight="1">
      <c r="A6" s="513" t="s">
        <v>0</v>
      </c>
      <c r="B6" s="512" t="s">
        <v>6</v>
      </c>
      <c r="C6" s="512" t="s">
        <v>7</v>
      </c>
      <c r="D6" s="513" t="s">
        <v>5</v>
      </c>
      <c r="E6" s="513"/>
      <c r="F6" s="513"/>
      <c r="G6" s="513"/>
      <c r="H6" s="513"/>
      <c r="I6" s="513"/>
      <c r="J6" s="80"/>
    </row>
    <row r="7" spans="1:10" s="9" customFormat="1" ht="30" customHeight="1">
      <c r="A7" s="513"/>
      <c r="B7" s="512"/>
      <c r="C7" s="512"/>
      <c r="D7" s="419" t="s">
        <v>8</v>
      </c>
      <c r="E7" s="418" t="s">
        <v>1</v>
      </c>
      <c r="F7" s="418" t="s">
        <v>2</v>
      </c>
      <c r="G7" s="418" t="s">
        <v>9</v>
      </c>
      <c r="H7" s="417" t="s">
        <v>3</v>
      </c>
      <c r="I7" s="420" t="s">
        <v>211</v>
      </c>
      <c r="J7" s="80"/>
    </row>
    <row r="8" spans="1:11" s="9" customFormat="1" ht="30" customHeight="1">
      <c r="A8" s="516" t="s">
        <v>112</v>
      </c>
      <c r="B8" s="516"/>
      <c r="C8" s="516"/>
      <c r="D8" s="167">
        <f>D9+60+D30+D38</f>
        <v>585</v>
      </c>
      <c r="E8" s="122">
        <f>E9+E27+E30+E38+E39+E41</f>
        <v>25.699999999999996</v>
      </c>
      <c r="F8" s="122">
        <f>F9+F27+F30+F38+F39+F41</f>
        <v>24.7</v>
      </c>
      <c r="G8" s="122">
        <f>G9+G27+G30+G38+G39+G41</f>
        <v>85.60000000000001</v>
      </c>
      <c r="H8" s="122">
        <f>H9+H27+H30+H38+H39+H41</f>
        <v>666.6</v>
      </c>
      <c r="I8" s="381"/>
      <c r="K8" s="1" t="s">
        <v>43</v>
      </c>
    </row>
    <row r="9" spans="1:12" s="9" customFormat="1" ht="30" customHeight="1">
      <c r="A9" s="504" t="s">
        <v>420</v>
      </c>
      <c r="B9" s="504"/>
      <c r="C9" s="504"/>
      <c r="D9" s="24">
        <v>200</v>
      </c>
      <c r="E9" s="56">
        <v>16.8</v>
      </c>
      <c r="F9" s="56">
        <v>18.9</v>
      </c>
      <c r="G9" s="56">
        <v>4.6</v>
      </c>
      <c r="H9" s="55">
        <f>G9*4+F9*9+E9*4</f>
        <v>255.7</v>
      </c>
      <c r="I9" s="374" t="s">
        <v>282</v>
      </c>
      <c r="J9" s="80"/>
      <c r="K9" s="347" t="s">
        <v>176</v>
      </c>
      <c r="L9" s="9">
        <f>D101+D41</f>
        <v>70</v>
      </c>
    </row>
    <row r="10" spans="1:12" s="9" customFormat="1" ht="30" customHeight="1">
      <c r="A10" s="72" t="s">
        <v>88</v>
      </c>
      <c r="B10" s="45">
        <v>125</v>
      </c>
      <c r="C10" s="45">
        <v>125</v>
      </c>
      <c r="D10" s="44"/>
      <c r="E10" s="128"/>
      <c r="F10" s="128"/>
      <c r="G10" s="128"/>
      <c r="H10" s="168"/>
      <c r="I10" s="373"/>
      <c r="J10" s="80"/>
      <c r="K10" s="347" t="s">
        <v>136</v>
      </c>
      <c r="L10" s="18">
        <f>+D99+B28+D39+D38</f>
        <v>225</v>
      </c>
    </row>
    <row r="11" spans="1:12" s="9" customFormat="1" ht="30" customHeight="1">
      <c r="A11" s="67" t="s">
        <v>56</v>
      </c>
      <c r="B11" s="45">
        <v>47</v>
      </c>
      <c r="C11" s="45">
        <v>47</v>
      </c>
      <c r="D11" s="44"/>
      <c r="E11" s="128"/>
      <c r="F11" s="128"/>
      <c r="G11" s="128"/>
      <c r="H11" s="168"/>
      <c r="I11" s="374"/>
      <c r="J11" s="80"/>
      <c r="K11" s="105" t="s">
        <v>162</v>
      </c>
      <c r="L11" s="18"/>
    </row>
    <row r="12" spans="1:12" s="9" customFormat="1" ht="30" customHeight="1">
      <c r="A12" s="73" t="s">
        <v>41</v>
      </c>
      <c r="B12" s="243">
        <f>B11*460/1000</f>
        <v>21.62</v>
      </c>
      <c r="C12" s="243">
        <f>C11*460/1000</f>
        <v>21.62</v>
      </c>
      <c r="D12" s="194"/>
      <c r="E12" s="56"/>
      <c r="F12" s="56"/>
      <c r="G12" s="56"/>
      <c r="H12" s="55"/>
      <c r="I12" s="373"/>
      <c r="J12" s="80"/>
      <c r="K12" s="347" t="s">
        <v>72</v>
      </c>
      <c r="L12" s="18">
        <f>C67</f>
        <v>10</v>
      </c>
    </row>
    <row r="13" spans="1:12" s="9" customFormat="1" ht="30" customHeight="1">
      <c r="A13" s="73" t="s">
        <v>42</v>
      </c>
      <c r="B13" s="243">
        <f>B11*120/1000</f>
        <v>5.64</v>
      </c>
      <c r="C13" s="243">
        <f>C11*120/1000</f>
        <v>5.64</v>
      </c>
      <c r="D13" s="194"/>
      <c r="E13" s="56"/>
      <c r="F13" s="56"/>
      <c r="G13" s="56"/>
      <c r="H13" s="55"/>
      <c r="I13" s="373"/>
      <c r="K13" s="347" t="s">
        <v>177</v>
      </c>
      <c r="L13" s="81"/>
    </row>
    <row r="14" spans="1:12" s="1" customFormat="1" ht="30" customHeight="1">
      <c r="A14" s="230" t="s">
        <v>156</v>
      </c>
      <c r="B14" s="231">
        <f>B11-B12</f>
        <v>25.38</v>
      </c>
      <c r="C14" s="231">
        <f>C11-C12</f>
        <v>25.38</v>
      </c>
      <c r="D14" s="232"/>
      <c r="E14" s="233"/>
      <c r="F14" s="233"/>
      <c r="G14" s="233"/>
      <c r="H14" s="234"/>
      <c r="I14" s="377"/>
      <c r="J14" s="80"/>
      <c r="K14" s="105" t="s">
        <v>28</v>
      </c>
      <c r="L14" s="18">
        <f>C63+C46+C86</f>
        <v>224</v>
      </c>
    </row>
    <row r="15" spans="1:12" s="9" customFormat="1" ht="30" customHeight="1">
      <c r="A15" s="230" t="s">
        <v>157</v>
      </c>
      <c r="B15" s="231">
        <f>B11-B13</f>
        <v>41.36</v>
      </c>
      <c r="C15" s="231">
        <f>C11-C13</f>
        <v>41.36</v>
      </c>
      <c r="D15" s="232"/>
      <c r="E15" s="233"/>
      <c r="F15" s="233"/>
      <c r="G15" s="233"/>
      <c r="H15" s="234"/>
      <c r="I15" s="377"/>
      <c r="J15" s="80"/>
      <c r="K15" s="347" t="s">
        <v>353</v>
      </c>
      <c r="L15" s="18">
        <f>+C70+C68+C78+C80+C81+C49+C52+C55+C56+C62+C20+C91</f>
        <v>212.875</v>
      </c>
    </row>
    <row r="16" spans="1:12" s="9" customFormat="1" ht="30" customHeight="1">
      <c r="A16" s="67" t="s">
        <v>11</v>
      </c>
      <c r="B16" s="44">
        <v>3</v>
      </c>
      <c r="C16" s="44">
        <v>3</v>
      </c>
      <c r="D16" s="44"/>
      <c r="E16" s="128"/>
      <c r="F16" s="128"/>
      <c r="G16" s="128"/>
      <c r="H16" s="168"/>
      <c r="I16" s="374"/>
      <c r="J16" s="80"/>
      <c r="K16" s="105" t="s">
        <v>29</v>
      </c>
      <c r="L16" s="9">
        <f>D102</f>
        <v>160</v>
      </c>
    </row>
    <row r="17" spans="1:12" s="9" customFormat="1" ht="30" customHeight="1">
      <c r="A17" s="67" t="s">
        <v>122</v>
      </c>
      <c r="B17" s="44"/>
      <c r="C17" s="44">
        <v>165</v>
      </c>
      <c r="D17" s="44"/>
      <c r="E17" s="128"/>
      <c r="F17" s="128"/>
      <c r="G17" s="128"/>
      <c r="H17" s="168"/>
      <c r="I17" s="374"/>
      <c r="J17" s="80"/>
      <c r="K17" s="105" t="s">
        <v>178</v>
      </c>
      <c r="L17" s="18"/>
    </row>
    <row r="18" spans="1:12" s="80" customFormat="1" ht="30" customHeight="1">
      <c r="A18" s="67" t="s">
        <v>40</v>
      </c>
      <c r="B18" s="44">
        <v>5</v>
      </c>
      <c r="C18" s="44">
        <v>5</v>
      </c>
      <c r="D18" s="44"/>
      <c r="E18" s="49"/>
      <c r="F18" s="49"/>
      <c r="G18" s="26"/>
      <c r="H18" s="30"/>
      <c r="I18" s="394"/>
      <c r="J18" s="9"/>
      <c r="K18" s="347" t="s">
        <v>354</v>
      </c>
      <c r="L18" s="18">
        <f>+C84+C32</f>
        <v>16</v>
      </c>
    </row>
    <row r="19" spans="1:12" s="80" customFormat="1" ht="30" customHeight="1">
      <c r="A19" s="166" t="s">
        <v>283</v>
      </c>
      <c r="B19" s="44"/>
      <c r="C19" s="44">
        <v>30</v>
      </c>
      <c r="D19" s="44"/>
      <c r="E19" s="49"/>
      <c r="F19" s="49"/>
      <c r="G19" s="26"/>
      <c r="H19" s="30"/>
      <c r="I19" s="394" t="s">
        <v>284</v>
      </c>
      <c r="J19" s="9"/>
      <c r="K19" s="347" t="s">
        <v>395</v>
      </c>
      <c r="L19" s="1">
        <f>D94</f>
        <v>200</v>
      </c>
    </row>
    <row r="20" spans="1:12" s="80" customFormat="1" ht="30" customHeight="1">
      <c r="A20" s="72" t="s">
        <v>123</v>
      </c>
      <c r="B20" s="62">
        <f>C20*1.54</f>
        <v>46.2</v>
      </c>
      <c r="C20" s="208">
        <v>30</v>
      </c>
      <c r="D20" s="208"/>
      <c r="E20" s="101"/>
      <c r="F20" s="101"/>
      <c r="G20" s="101"/>
      <c r="H20" s="62"/>
      <c r="I20" s="384"/>
      <c r="J20" s="9"/>
      <c r="K20" s="105" t="s">
        <v>31</v>
      </c>
      <c r="L20" s="121">
        <f>C29</f>
        <v>30</v>
      </c>
    </row>
    <row r="21" spans="1:12" s="9" customFormat="1" ht="30" customHeight="1">
      <c r="A21" s="119" t="s">
        <v>391</v>
      </c>
      <c r="B21" s="45">
        <f>C21*1.05</f>
        <v>31.5</v>
      </c>
      <c r="C21" s="208">
        <v>30</v>
      </c>
      <c r="D21" s="54"/>
      <c r="E21" s="56"/>
      <c r="F21" s="56"/>
      <c r="G21" s="56"/>
      <c r="H21" s="169"/>
      <c r="I21" s="380"/>
      <c r="K21" s="105" t="s">
        <v>77</v>
      </c>
      <c r="L21" s="82"/>
    </row>
    <row r="22" spans="1:12" s="9" customFormat="1" ht="30" customHeight="1">
      <c r="A22" s="209" t="s">
        <v>124</v>
      </c>
      <c r="B22" s="62">
        <f>C22*1.67</f>
        <v>50.099999999999994</v>
      </c>
      <c r="C22" s="208">
        <v>30</v>
      </c>
      <c r="D22" s="208"/>
      <c r="E22" s="101"/>
      <c r="F22" s="101"/>
      <c r="G22" s="101"/>
      <c r="H22" s="62"/>
      <c r="I22" s="384"/>
      <c r="K22" s="347" t="s">
        <v>39</v>
      </c>
      <c r="L22" s="82"/>
    </row>
    <row r="23" spans="1:12" s="9" customFormat="1" ht="30" customHeight="1">
      <c r="A23" s="506" t="s">
        <v>76</v>
      </c>
      <c r="B23" s="506"/>
      <c r="C23" s="506"/>
      <c r="D23" s="506"/>
      <c r="E23" s="506"/>
      <c r="F23" s="506"/>
      <c r="G23" s="506"/>
      <c r="H23" s="506"/>
      <c r="I23" s="506"/>
      <c r="K23" s="105" t="s">
        <v>179</v>
      </c>
      <c r="L23" s="9">
        <f>C31</f>
        <v>4</v>
      </c>
    </row>
    <row r="24" spans="1:12" s="9" customFormat="1" ht="30" customHeight="1">
      <c r="A24" s="504" t="s">
        <v>513</v>
      </c>
      <c r="B24" s="504"/>
      <c r="C24" s="180">
        <v>30</v>
      </c>
      <c r="D24" s="267"/>
      <c r="E24" s="56"/>
      <c r="F24" s="56"/>
      <c r="G24" s="56"/>
      <c r="H24" s="55"/>
      <c r="I24" s="374" t="s">
        <v>397</v>
      </c>
      <c r="K24" s="105" t="s">
        <v>32</v>
      </c>
      <c r="L24" s="6"/>
    </row>
    <row r="25" spans="1:12" s="9" customFormat="1" ht="30" customHeight="1">
      <c r="A25" s="119" t="s">
        <v>374</v>
      </c>
      <c r="B25" s="128">
        <f>C25*1.05</f>
        <v>36.75</v>
      </c>
      <c r="C25" s="111">
        <v>35</v>
      </c>
      <c r="D25" s="211"/>
      <c r="E25" s="214"/>
      <c r="F25" s="214"/>
      <c r="G25" s="214"/>
      <c r="H25" s="214"/>
      <c r="I25" s="399"/>
      <c r="K25" s="105" t="s">
        <v>180</v>
      </c>
      <c r="L25" s="6">
        <f>C60</f>
        <v>16</v>
      </c>
    </row>
    <row r="26" spans="1:12" s="80" customFormat="1" ht="30" customHeight="1">
      <c r="A26" s="119" t="s">
        <v>392</v>
      </c>
      <c r="B26" s="128">
        <f>C26*1.05</f>
        <v>36.75</v>
      </c>
      <c r="C26" s="111">
        <v>35</v>
      </c>
      <c r="D26" s="211"/>
      <c r="E26" s="214"/>
      <c r="F26" s="214"/>
      <c r="G26" s="214"/>
      <c r="H26" s="214"/>
      <c r="I26" s="399"/>
      <c r="J26" s="9"/>
      <c r="K26" s="347" t="s">
        <v>182</v>
      </c>
      <c r="L26" s="91"/>
    </row>
    <row r="27" spans="1:12" s="126" customFormat="1" ht="30" customHeight="1">
      <c r="A27" s="206" t="s">
        <v>337</v>
      </c>
      <c r="B27" s="44"/>
      <c r="C27" s="22"/>
      <c r="D27" s="54" t="s">
        <v>125</v>
      </c>
      <c r="E27" s="56">
        <v>2.9</v>
      </c>
      <c r="F27" s="56">
        <v>0.6</v>
      </c>
      <c r="G27" s="56">
        <v>41.5</v>
      </c>
      <c r="H27" s="55">
        <f>G27*4+F27*9+E27*4</f>
        <v>183</v>
      </c>
      <c r="I27" s="311" t="s">
        <v>338</v>
      </c>
      <c r="J27" s="80"/>
      <c r="K27" s="105" t="s">
        <v>181</v>
      </c>
      <c r="L27" s="91"/>
    </row>
    <row r="28" spans="1:12" s="80" customFormat="1" ht="30" customHeight="1">
      <c r="A28" s="67" t="s">
        <v>340</v>
      </c>
      <c r="B28" s="44">
        <v>30</v>
      </c>
      <c r="C28" s="44">
        <v>30</v>
      </c>
      <c r="D28" s="111"/>
      <c r="E28" s="56"/>
      <c r="F28" s="56"/>
      <c r="G28" s="56"/>
      <c r="H28" s="56"/>
      <c r="I28" s="311"/>
      <c r="J28" s="9"/>
      <c r="K28" s="347" t="s">
        <v>183</v>
      </c>
      <c r="L28" s="91">
        <f>C75</f>
        <v>148</v>
      </c>
    </row>
    <row r="29" spans="1:12" s="80" customFormat="1" ht="30" customHeight="1">
      <c r="A29" s="119" t="s">
        <v>339</v>
      </c>
      <c r="B29" s="111">
        <v>30.4</v>
      </c>
      <c r="C29" s="111">
        <v>30</v>
      </c>
      <c r="D29" s="111"/>
      <c r="E29" s="56"/>
      <c r="F29" s="56"/>
      <c r="G29" s="56"/>
      <c r="H29" s="55"/>
      <c r="I29" s="311"/>
      <c r="J29" s="9"/>
      <c r="K29" s="352" t="s">
        <v>184</v>
      </c>
      <c r="L29" s="6">
        <f>+B11+B33</f>
        <v>97</v>
      </c>
    </row>
    <row r="30" spans="1:12" s="9" customFormat="1" ht="30" customHeight="1">
      <c r="A30" s="503" t="s">
        <v>223</v>
      </c>
      <c r="B30" s="503"/>
      <c r="C30" s="503"/>
      <c r="D30" s="24">
        <v>200</v>
      </c>
      <c r="E30" s="56">
        <v>1.9</v>
      </c>
      <c r="F30" s="56">
        <v>1.7</v>
      </c>
      <c r="G30" s="56">
        <v>17</v>
      </c>
      <c r="H30" s="55">
        <f>G30*4+F30*9+E30*4</f>
        <v>90.89999999999999</v>
      </c>
      <c r="I30" s="259" t="s">
        <v>224</v>
      </c>
      <c r="K30" s="352" t="s">
        <v>185</v>
      </c>
      <c r="L30" s="6">
        <f>D38</f>
        <v>125</v>
      </c>
    </row>
    <row r="31" spans="1:12" s="9" customFormat="1" ht="30" customHeight="1">
      <c r="A31" s="113" t="s">
        <v>114</v>
      </c>
      <c r="B31" s="111">
        <v>4</v>
      </c>
      <c r="C31" s="111">
        <v>4</v>
      </c>
      <c r="D31" s="111"/>
      <c r="E31" s="128"/>
      <c r="F31" s="128"/>
      <c r="G31" s="128"/>
      <c r="H31" s="111"/>
      <c r="I31" s="373"/>
      <c r="K31" s="347" t="s">
        <v>186</v>
      </c>
      <c r="L31" s="187"/>
    </row>
    <row r="32" spans="1:12" s="126" customFormat="1" ht="30" customHeight="1">
      <c r="A32" s="67" t="s">
        <v>4</v>
      </c>
      <c r="B32" s="35">
        <v>15</v>
      </c>
      <c r="C32" s="35">
        <v>15</v>
      </c>
      <c r="D32" s="35"/>
      <c r="E32" s="128"/>
      <c r="F32" s="128"/>
      <c r="G32" s="128"/>
      <c r="H32" s="111"/>
      <c r="I32" s="373"/>
      <c r="J32" s="9"/>
      <c r="K32" s="347" t="s">
        <v>187</v>
      </c>
      <c r="L32" s="6">
        <f>B72</f>
        <v>5</v>
      </c>
    </row>
    <row r="33" spans="1:12" s="9" customFormat="1" ht="30" customHeight="1">
      <c r="A33" s="67" t="s">
        <v>56</v>
      </c>
      <c r="B33" s="35">
        <v>50</v>
      </c>
      <c r="C33" s="35">
        <v>50</v>
      </c>
      <c r="D33" s="35"/>
      <c r="E33" s="128"/>
      <c r="F33" s="128"/>
      <c r="G33" s="128"/>
      <c r="H33" s="111"/>
      <c r="I33" s="373"/>
      <c r="K33" s="347" t="s">
        <v>188</v>
      </c>
      <c r="L33" s="1"/>
    </row>
    <row r="34" spans="1:12" s="9" customFormat="1" ht="30" customHeight="1">
      <c r="A34" s="73" t="s">
        <v>41</v>
      </c>
      <c r="B34" s="243">
        <f>B33*460/1000</f>
        <v>23</v>
      </c>
      <c r="C34" s="243">
        <f>C33*460/1000</f>
        <v>23</v>
      </c>
      <c r="D34" s="194"/>
      <c r="E34" s="56"/>
      <c r="F34" s="56"/>
      <c r="G34" s="56"/>
      <c r="H34" s="55"/>
      <c r="I34" s="373"/>
      <c r="K34" s="352" t="s">
        <v>33</v>
      </c>
      <c r="L34" s="6">
        <f>C71+C92+C18</f>
        <v>16</v>
      </c>
    </row>
    <row r="35" spans="1:12" s="126" customFormat="1" ht="30" customHeight="1">
      <c r="A35" s="73" t="s">
        <v>42</v>
      </c>
      <c r="B35" s="243">
        <f>B33*120/1000</f>
        <v>6</v>
      </c>
      <c r="C35" s="243">
        <f>C33*120/1000</f>
        <v>6</v>
      </c>
      <c r="D35" s="194"/>
      <c r="E35" s="56"/>
      <c r="F35" s="56"/>
      <c r="G35" s="56"/>
      <c r="H35" s="55"/>
      <c r="I35" s="373"/>
      <c r="J35" s="9"/>
      <c r="K35" s="105" t="s">
        <v>34</v>
      </c>
      <c r="L35" s="6">
        <f>C83+B16</f>
        <v>8</v>
      </c>
    </row>
    <row r="36" spans="1:12" s="9" customFormat="1" ht="30" customHeight="1">
      <c r="A36" s="230" t="s">
        <v>156</v>
      </c>
      <c r="B36" s="231">
        <f>B33-B34</f>
        <v>27</v>
      </c>
      <c r="C36" s="231">
        <f>C33-C34</f>
        <v>27</v>
      </c>
      <c r="D36" s="232"/>
      <c r="E36" s="233"/>
      <c r="F36" s="233"/>
      <c r="G36" s="233"/>
      <c r="H36" s="234"/>
      <c r="I36" s="377"/>
      <c r="J36" s="80"/>
      <c r="K36" s="105" t="s">
        <v>189</v>
      </c>
      <c r="L36" s="6">
        <f>C10</f>
        <v>125</v>
      </c>
    </row>
    <row r="37" spans="1:11" s="9" customFormat="1" ht="30" customHeight="1">
      <c r="A37" s="230" t="s">
        <v>157</v>
      </c>
      <c r="B37" s="231">
        <f>B33-B35</f>
        <v>44</v>
      </c>
      <c r="C37" s="231">
        <f>C33-C35</f>
        <v>44</v>
      </c>
      <c r="D37" s="232"/>
      <c r="E37" s="233"/>
      <c r="F37" s="233"/>
      <c r="G37" s="233"/>
      <c r="H37" s="234"/>
      <c r="I37" s="377"/>
      <c r="K37" s="105" t="s">
        <v>369</v>
      </c>
    </row>
    <row r="38" spans="1:12" s="80" customFormat="1" ht="30" customHeight="1">
      <c r="A38" s="263" t="s">
        <v>401</v>
      </c>
      <c r="B38" s="111">
        <v>129</v>
      </c>
      <c r="C38" s="111">
        <v>125</v>
      </c>
      <c r="D38" s="264">
        <v>125</v>
      </c>
      <c r="E38" s="116">
        <v>2.5</v>
      </c>
      <c r="F38" s="116">
        <v>3.1</v>
      </c>
      <c r="G38" s="116">
        <v>4.4</v>
      </c>
      <c r="H38" s="55">
        <f>E38*4+F38*9+G38*4</f>
        <v>55.50000000000001</v>
      </c>
      <c r="I38" s="261" t="s">
        <v>258</v>
      </c>
      <c r="J38" s="9"/>
      <c r="K38" s="105" t="s">
        <v>190</v>
      </c>
      <c r="L38" s="9">
        <v>1.2</v>
      </c>
    </row>
    <row r="39" spans="1:12" s="9" customFormat="1" ht="30" customHeight="1">
      <c r="A39" s="435" t="s">
        <v>20</v>
      </c>
      <c r="B39" s="164">
        <v>20</v>
      </c>
      <c r="C39" s="164">
        <v>20</v>
      </c>
      <c r="D39" s="103">
        <v>20</v>
      </c>
      <c r="E39" s="110">
        <v>0.9</v>
      </c>
      <c r="F39" s="110">
        <v>0.2</v>
      </c>
      <c r="G39" s="110">
        <v>8.7</v>
      </c>
      <c r="H39" s="141">
        <v>40.5</v>
      </c>
      <c r="I39" s="374"/>
      <c r="J39" s="80"/>
      <c r="K39" s="347" t="s">
        <v>191</v>
      </c>
      <c r="L39" s="9">
        <v>3</v>
      </c>
    </row>
    <row r="40" spans="1:10" s="9" customFormat="1" ht="30" customHeight="1">
      <c r="A40" s="501" t="s">
        <v>80</v>
      </c>
      <c r="B40" s="501"/>
      <c r="C40" s="501"/>
      <c r="D40" s="103">
        <v>20</v>
      </c>
      <c r="E40" s="128"/>
      <c r="F40" s="128"/>
      <c r="G40" s="128"/>
      <c r="H40" s="128"/>
      <c r="I40" s="373"/>
      <c r="J40" s="80"/>
    </row>
    <row r="41" spans="1:10" s="9" customFormat="1" ht="30" customHeight="1">
      <c r="A41" s="434" t="s">
        <v>27</v>
      </c>
      <c r="B41" s="111">
        <v>20</v>
      </c>
      <c r="C41" s="111">
        <v>20</v>
      </c>
      <c r="D41" s="54">
        <v>20</v>
      </c>
      <c r="E41" s="56">
        <v>0.7</v>
      </c>
      <c r="F41" s="56">
        <v>0.2</v>
      </c>
      <c r="G41" s="56">
        <v>9.4</v>
      </c>
      <c r="H41" s="55">
        <v>41</v>
      </c>
      <c r="I41" s="374"/>
      <c r="J41" s="80"/>
    </row>
    <row r="42" spans="1:9" s="9" customFormat="1" ht="30" customHeight="1">
      <c r="A42" s="516" t="s">
        <v>63</v>
      </c>
      <c r="B42" s="516"/>
      <c r="C42" s="516"/>
      <c r="D42" s="167">
        <f>D43+265+170+D85+D94+D102</f>
        <v>1075</v>
      </c>
      <c r="E42" s="53">
        <f>E43+E59+E74+E85+E94+E99+E101+E102</f>
        <v>30.240000000000002</v>
      </c>
      <c r="F42" s="53">
        <f>F43+F59+F74+F85+F94+F99+F101+F102</f>
        <v>27.620000000000005</v>
      </c>
      <c r="G42" s="53">
        <f>G43+G59+G74+G85+G94+G99+G101+G102</f>
        <v>140.01999999999998</v>
      </c>
      <c r="H42" s="53">
        <f>H43+H59+H74+H85+H94+H99+H101+H102</f>
        <v>924.4200000000001</v>
      </c>
      <c r="I42" s="379"/>
    </row>
    <row r="43" spans="1:10" s="9" customFormat="1" ht="30" customHeight="1">
      <c r="A43" s="504" t="s">
        <v>341</v>
      </c>
      <c r="B43" s="504"/>
      <c r="C43" s="504"/>
      <c r="D43" s="24">
        <v>100</v>
      </c>
      <c r="E43" s="56">
        <v>1.6</v>
      </c>
      <c r="F43" s="56">
        <v>5.2</v>
      </c>
      <c r="G43" s="56">
        <v>6.1</v>
      </c>
      <c r="H43" s="141">
        <f>G43*4+F43*9+E43*4</f>
        <v>77.60000000000001</v>
      </c>
      <c r="I43" s="374" t="s">
        <v>342</v>
      </c>
      <c r="J43" s="80"/>
    </row>
    <row r="44" spans="1:9" s="9" customFormat="1" ht="30" customHeight="1">
      <c r="A44" s="64" t="s">
        <v>12</v>
      </c>
      <c r="B44" s="23">
        <f>C44*1.33</f>
        <v>34.58</v>
      </c>
      <c r="C44" s="43">
        <v>26</v>
      </c>
      <c r="D44" s="44"/>
      <c r="E44" s="128"/>
      <c r="F44" s="128"/>
      <c r="G44" s="128"/>
      <c r="H44" s="128"/>
      <c r="I44" s="373"/>
    </row>
    <row r="45" spans="1:12" s="80" customFormat="1" ht="30" customHeight="1">
      <c r="A45" s="64" t="s">
        <v>13</v>
      </c>
      <c r="B45" s="23">
        <f>C45*1.43</f>
        <v>37.18</v>
      </c>
      <c r="C45" s="43">
        <v>26</v>
      </c>
      <c r="D45" s="44"/>
      <c r="E45" s="128"/>
      <c r="F45" s="128"/>
      <c r="G45" s="128"/>
      <c r="H45" s="55"/>
      <c r="I45" s="373"/>
      <c r="K45" s="9"/>
      <c r="L45" s="9"/>
    </row>
    <row r="46" spans="1:10" s="9" customFormat="1" ht="30" customHeight="1">
      <c r="A46" s="67" t="s">
        <v>14</v>
      </c>
      <c r="B46" s="23">
        <f>C46*1.54</f>
        <v>40.04</v>
      </c>
      <c r="C46" s="43">
        <v>26</v>
      </c>
      <c r="D46" s="44"/>
      <c r="E46" s="128"/>
      <c r="F46" s="128"/>
      <c r="G46" s="128"/>
      <c r="H46" s="55"/>
      <c r="I46" s="373"/>
      <c r="J46" s="80"/>
    </row>
    <row r="47" spans="1:12" s="126" customFormat="1" ht="30" customHeight="1">
      <c r="A47" s="67" t="s">
        <v>15</v>
      </c>
      <c r="B47" s="23">
        <f>C47*1.67</f>
        <v>43.42</v>
      </c>
      <c r="C47" s="43">
        <v>26</v>
      </c>
      <c r="D47" s="44"/>
      <c r="E47" s="128"/>
      <c r="F47" s="128"/>
      <c r="G47" s="128"/>
      <c r="H47" s="128"/>
      <c r="I47" s="373"/>
      <c r="J47" s="80"/>
      <c r="K47" s="9"/>
      <c r="L47" s="9"/>
    </row>
    <row r="48" spans="1:10" s="9" customFormat="1" ht="30" customHeight="1">
      <c r="A48" s="67" t="s">
        <v>291</v>
      </c>
      <c r="B48" s="23"/>
      <c r="C48" s="43">
        <v>25</v>
      </c>
      <c r="D48" s="44"/>
      <c r="E48" s="128"/>
      <c r="F48" s="128"/>
      <c r="G48" s="128"/>
      <c r="H48" s="128"/>
      <c r="I48" s="373"/>
      <c r="J48" s="80"/>
    </row>
    <row r="49" spans="1:10" s="9" customFormat="1" ht="30" customHeight="1">
      <c r="A49" s="64" t="s">
        <v>17</v>
      </c>
      <c r="B49" s="43">
        <f>C49*1.25</f>
        <v>25</v>
      </c>
      <c r="C49" s="43">
        <v>20</v>
      </c>
      <c r="D49" s="44"/>
      <c r="E49" s="128"/>
      <c r="F49" s="128"/>
      <c r="G49" s="128"/>
      <c r="H49" s="55"/>
      <c r="I49" s="373"/>
      <c r="J49" s="80"/>
    </row>
    <row r="50" spans="1:10" s="9" customFormat="1" ht="30" customHeight="1">
      <c r="A50" s="64" t="s">
        <v>16</v>
      </c>
      <c r="B50" s="43">
        <f>C50*1.33</f>
        <v>26.6</v>
      </c>
      <c r="C50" s="43">
        <v>20</v>
      </c>
      <c r="D50" s="44"/>
      <c r="E50" s="128"/>
      <c r="F50" s="128"/>
      <c r="G50" s="128"/>
      <c r="H50" s="55"/>
      <c r="I50" s="373"/>
      <c r="J50" s="80"/>
    </row>
    <row r="51" spans="1:10" s="9" customFormat="1" ht="30" customHeight="1">
      <c r="A51" s="64" t="s">
        <v>343</v>
      </c>
      <c r="B51" s="43"/>
      <c r="C51" s="43">
        <v>18</v>
      </c>
      <c r="D51" s="44"/>
      <c r="E51" s="128"/>
      <c r="F51" s="128"/>
      <c r="G51" s="128"/>
      <c r="H51" s="55"/>
      <c r="I51" s="373"/>
      <c r="J51" s="80"/>
    </row>
    <row r="52" spans="1:10" s="9" customFormat="1" ht="30" customHeight="1">
      <c r="A52" s="64" t="s">
        <v>67</v>
      </c>
      <c r="B52" s="43">
        <f>C52*1.25</f>
        <v>18.75</v>
      </c>
      <c r="C52" s="43">
        <v>15</v>
      </c>
      <c r="D52" s="44"/>
      <c r="E52" s="128"/>
      <c r="F52" s="128"/>
      <c r="G52" s="128"/>
      <c r="H52" s="168"/>
      <c r="I52" s="373"/>
      <c r="J52" s="80"/>
    </row>
    <row r="53" spans="1:9" s="9" customFormat="1" ht="30" customHeight="1">
      <c r="A53" s="64" t="s">
        <v>16</v>
      </c>
      <c r="B53" s="43">
        <f>C53*1.33</f>
        <v>19.950000000000003</v>
      </c>
      <c r="C53" s="43">
        <v>15</v>
      </c>
      <c r="D53" s="44"/>
      <c r="E53" s="128"/>
      <c r="F53" s="128"/>
      <c r="G53" s="128"/>
      <c r="H53" s="168"/>
      <c r="I53" s="373"/>
    </row>
    <row r="54" spans="1:10" s="9" customFormat="1" ht="30" customHeight="1">
      <c r="A54" s="64" t="s">
        <v>344</v>
      </c>
      <c r="B54" s="43"/>
      <c r="C54" s="43">
        <v>14</v>
      </c>
      <c r="D54" s="44"/>
      <c r="E54" s="128"/>
      <c r="F54" s="128"/>
      <c r="G54" s="128"/>
      <c r="H54" s="55"/>
      <c r="I54" s="373"/>
      <c r="J54" s="80"/>
    </row>
    <row r="55" spans="1:9" s="9" customFormat="1" ht="30" customHeight="1">
      <c r="A55" s="64" t="s">
        <v>129</v>
      </c>
      <c r="B55" s="43">
        <f>C55*1.82</f>
        <v>54.6</v>
      </c>
      <c r="C55" s="43">
        <v>30</v>
      </c>
      <c r="D55" s="44"/>
      <c r="E55" s="128"/>
      <c r="F55" s="128"/>
      <c r="G55" s="128"/>
      <c r="H55" s="168"/>
      <c r="I55" s="373"/>
    </row>
    <row r="56" spans="1:9" s="9" customFormat="1" ht="30" customHeight="1">
      <c r="A56" s="72" t="s">
        <v>87</v>
      </c>
      <c r="B56" s="43">
        <f>C56*1.54</f>
        <v>15.4</v>
      </c>
      <c r="C56" s="43">
        <v>10</v>
      </c>
      <c r="D56" s="44"/>
      <c r="E56" s="128"/>
      <c r="F56" s="128"/>
      <c r="G56" s="128"/>
      <c r="H56" s="168"/>
      <c r="I56" s="373"/>
    </row>
    <row r="57" spans="1:9" s="9" customFormat="1" ht="30" customHeight="1">
      <c r="A57" s="119" t="s">
        <v>391</v>
      </c>
      <c r="B57" s="49">
        <f>C57*1.05</f>
        <v>10.5</v>
      </c>
      <c r="C57" s="62">
        <f>C56</f>
        <v>10</v>
      </c>
      <c r="D57" s="54"/>
      <c r="E57" s="56"/>
      <c r="F57" s="56"/>
      <c r="G57" s="56"/>
      <c r="H57" s="169"/>
      <c r="I57" s="380"/>
    </row>
    <row r="58" spans="1:10" s="9" customFormat="1" ht="30" customHeight="1">
      <c r="A58" s="67" t="s">
        <v>11</v>
      </c>
      <c r="B58" s="44">
        <v>5</v>
      </c>
      <c r="C58" s="44">
        <v>5</v>
      </c>
      <c r="D58" s="44"/>
      <c r="E58" s="128"/>
      <c r="F58" s="128"/>
      <c r="G58" s="128"/>
      <c r="H58" s="168"/>
      <c r="I58" s="373"/>
      <c r="J58" s="80"/>
    </row>
    <row r="59" spans="1:9" s="9" customFormat="1" ht="30" customHeight="1">
      <c r="A59" s="548" t="s">
        <v>417</v>
      </c>
      <c r="B59" s="505"/>
      <c r="C59" s="505"/>
      <c r="D59" s="22" t="s">
        <v>159</v>
      </c>
      <c r="E59" s="32">
        <v>4.8</v>
      </c>
      <c r="F59" s="32">
        <v>5.7</v>
      </c>
      <c r="G59" s="32">
        <v>15.5</v>
      </c>
      <c r="H59" s="201">
        <f>E59*4+F59*9+G59*4</f>
        <v>132.5</v>
      </c>
      <c r="I59" s="261" t="s">
        <v>418</v>
      </c>
    </row>
    <row r="60" spans="1:9" s="9" customFormat="1" ht="30" customHeight="1">
      <c r="A60" s="65" t="s">
        <v>90</v>
      </c>
      <c r="B60" s="33">
        <f>C60*1.36</f>
        <v>21.76</v>
      </c>
      <c r="C60" s="5">
        <v>16</v>
      </c>
      <c r="D60" s="213"/>
      <c r="E60" s="38"/>
      <c r="F60" s="38"/>
      <c r="G60" s="38"/>
      <c r="H60" s="144"/>
      <c r="I60" s="379"/>
    </row>
    <row r="61" spans="1:10" s="9" customFormat="1" ht="30" customHeight="1">
      <c r="A61" s="65" t="s">
        <v>91</v>
      </c>
      <c r="B61" s="33">
        <f>C61*1.18</f>
        <v>18.88</v>
      </c>
      <c r="C61" s="5">
        <v>16</v>
      </c>
      <c r="D61" s="213"/>
      <c r="E61" s="38"/>
      <c r="F61" s="38"/>
      <c r="G61" s="38"/>
      <c r="H61" s="144"/>
      <c r="I61" s="379"/>
      <c r="J61" s="155"/>
    </row>
    <row r="62" spans="1:9" s="9" customFormat="1" ht="30" customHeight="1">
      <c r="A62" s="71" t="s">
        <v>363</v>
      </c>
      <c r="B62" s="45">
        <f>C62*1.25</f>
        <v>40</v>
      </c>
      <c r="C62" s="45">
        <v>32</v>
      </c>
      <c r="D62" s="221"/>
      <c r="E62" s="112"/>
      <c r="F62" s="112"/>
      <c r="G62" s="112"/>
      <c r="H62" s="146"/>
      <c r="I62" s="381"/>
    </row>
    <row r="63" spans="1:9" s="9" customFormat="1" ht="30" customHeight="1">
      <c r="A63" s="71" t="s">
        <v>12</v>
      </c>
      <c r="B63" s="45">
        <f>C63*1.33</f>
        <v>37.24</v>
      </c>
      <c r="C63" s="44">
        <v>28</v>
      </c>
      <c r="D63" s="5"/>
      <c r="E63" s="128"/>
      <c r="F63" s="128"/>
      <c r="G63" s="128"/>
      <c r="H63" s="168"/>
      <c r="I63" s="373"/>
    </row>
    <row r="64" spans="1:9" s="9" customFormat="1" ht="30" customHeight="1">
      <c r="A64" s="71" t="s">
        <v>13</v>
      </c>
      <c r="B64" s="45">
        <f>C64*1.43</f>
        <v>40.04</v>
      </c>
      <c r="C64" s="44">
        <v>28</v>
      </c>
      <c r="D64" s="5"/>
      <c r="E64" s="128"/>
      <c r="F64" s="128"/>
      <c r="G64" s="128"/>
      <c r="H64" s="168"/>
      <c r="I64" s="373"/>
    </row>
    <row r="65" spans="1:9" s="9" customFormat="1" ht="30" customHeight="1">
      <c r="A65" s="71" t="s">
        <v>14</v>
      </c>
      <c r="B65" s="45">
        <f>C65*1.54</f>
        <v>43.120000000000005</v>
      </c>
      <c r="C65" s="44">
        <v>28</v>
      </c>
      <c r="D65" s="5"/>
      <c r="E65" s="128"/>
      <c r="F65" s="128"/>
      <c r="G65" s="128"/>
      <c r="H65" s="168"/>
      <c r="I65" s="373"/>
    </row>
    <row r="66" spans="1:9" s="9" customFormat="1" ht="30" customHeight="1">
      <c r="A66" s="71" t="s">
        <v>15</v>
      </c>
      <c r="B66" s="45">
        <f>C66*1.67</f>
        <v>46.76</v>
      </c>
      <c r="C66" s="44">
        <v>28</v>
      </c>
      <c r="D66" s="5"/>
      <c r="E66" s="128"/>
      <c r="F66" s="128"/>
      <c r="G66" s="128"/>
      <c r="H66" s="168"/>
      <c r="I66" s="373"/>
    </row>
    <row r="67" spans="1:9" s="9" customFormat="1" ht="30" customHeight="1">
      <c r="A67" s="71" t="s">
        <v>416</v>
      </c>
      <c r="B67" s="45">
        <v>10</v>
      </c>
      <c r="C67" s="44">
        <v>10</v>
      </c>
      <c r="D67" s="5"/>
      <c r="E67" s="128"/>
      <c r="F67" s="128"/>
      <c r="G67" s="128"/>
      <c r="H67" s="168"/>
      <c r="I67" s="373"/>
    </row>
    <row r="68" spans="1:9" s="9" customFormat="1" ht="30" customHeight="1">
      <c r="A68" s="71" t="s">
        <v>406</v>
      </c>
      <c r="B68" s="49">
        <f>C68*1.25</f>
        <v>12.5</v>
      </c>
      <c r="C68" s="44">
        <v>10</v>
      </c>
      <c r="D68" s="5"/>
      <c r="E68" s="128"/>
      <c r="F68" s="128"/>
      <c r="G68" s="128"/>
      <c r="H68" s="168"/>
      <c r="I68" s="373"/>
    </row>
    <row r="69" spans="1:9" s="9" customFormat="1" ht="30" customHeight="1">
      <c r="A69" s="71" t="s">
        <v>16</v>
      </c>
      <c r="B69" s="49">
        <f>C69*1.33</f>
        <v>13.3</v>
      </c>
      <c r="C69" s="44">
        <v>10</v>
      </c>
      <c r="D69" s="5"/>
      <c r="E69" s="128"/>
      <c r="F69" s="128"/>
      <c r="G69" s="128"/>
      <c r="H69" s="168"/>
      <c r="I69" s="373"/>
    </row>
    <row r="70" spans="1:9" s="9" customFormat="1" ht="30" customHeight="1">
      <c r="A70" s="71" t="s">
        <v>18</v>
      </c>
      <c r="B70" s="45">
        <f>C70*1.19</f>
        <v>11.899999999999999</v>
      </c>
      <c r="C70" s="44">
        <v>10</v>
      </c>
      <c r="D70" s="5"/>
      <c r="E70" s="128"/>
      <c r="F70" s="128"/>
      <c r="G70" s="128"/>
      <c r="H70" s="168"/>
      <c r="I70" s="373"/>
    </row>
    <row r="71" spans="1:9" s="9" customFormat="1" ht="30" customHeight="1">
      <c r="A71" s="113" t="s">
        <v>19</v>
      </c>
      <c r="B71" s="168">
        <v>5</v>
      </c>
      <c r="C71" s="168">
        <v>5</v>
      </c>
      <c r="D71" s="111"/>
      <c r="E71" s="128"/>
      <c r="F71" s="128"/>
      <c r="G71" s="128"/>
      <c r="H71" s="168"/>
      <c r="I71" s="373"/>
    </row>
    <row r="72" spans="1:9" s="9" customFormat="1" ht="30" customHeight="1">
      <c r="A72" s="64" t="s">
        <v>62</v>
      </c>
      <c r="B72" s="5">
        <v>5</v>
      </c>
      <c r="C72" s="5">
        <v>5</v>
      </c>
      <c r="D72" s="5"/>
      <c r="E72" s="128"/>
      <c r="F72" s="128"/>
      <c r="G72" s="128"/>
      <c r="H72" s="168"/>
      <c r="I72" s="373"/>
    </row>
    <row r="73" spans="1:9" s="9" customFormat="1" ht="30" customHeight="1">
      <c r="A73" s="67" t="s">
        <v>78</v>
      </c>
      <c r="B73" s="48">
        <v>0.2</v>
      </c>
      <c r="C73" s="48">
        <v>0.2</v>
      </c>
      <c r="D73" s="213"/>
      <c r="E73" s="38"/>
      <c r="F73" s="38"/>
      <c r="G73" s="38"/>
      <c r="H73" s="144"/>
      <c r="I73" s="379"/>
    </row>
    <row r="74" spans="1:9" s="9" customFormat="1" ht="30" customHeight="1">
      <c r="A74" s="549" t="s">
        <v>321</v>
      </c>
      <c r="B74" s="549"/>
      <c r="C74" s="549"/>
      <c r="D74" s="98" t="s">
        <v>127</v>
      </c>
      <c r="E74" s="97">
        <v>17.2</v>
      </c>
      <c r="F74" s="97">
        <v>9.4</v>
      </c>
      <c r="G74" s="97">
        <v>5.7</v>
      </c>
      <c r="H74" s="55">
        <f>G74*4+F74*9+E74*4</f>
        <v>176.2</v>
      </c>
      <c r="I74" s="261" t="s">
        <v>322</v>
      </c>
    </row>
    <row r="75" spans="1:9" s="9" customFormat="1" ht="30" customHeight="1">
      <c r="A75" s="70" t="s">
        <v>86</v>
      </c>
      <c r="B75" s="439">
        <f>C75*1.35</f>
        <v>199.8</v>
      </c>
      <c r="C75" s="60">
        <v>148</v>
      </c>
      <c r="D75" s="63"/>
      <c r="E75" s="134"/>
      <c r="F75" s="134"/>
      <c r="G75" s="134"/>
      <c r="H75" s="117"/>
      <c r="I75" s="384"/>
    </row>
    <row r="76" spans="1:9" s="9" customFormat="1" ht="30" customHeight="1">
      <c r="A76" s="70" t="s">
        <v>150</v>
      </c>
      <c r="B76" s="61">
        <f>C76*1.43</f>
        <v>205.92</v>
      </c>
      <c r="C76" s="45">
        <v>144</v>
      </c>
      <c r="D76" s="21"/>
      <c r="E76" s="56"/>
      <c r="F76" s="56"/>
      <c r="G76" s="56"/>
      <c r="H76" s="55"/>
      <c r="I76" s="374"/>
    </row>
    <row r="77" spans="1:9" s="9" customFormat="1" ht="30" customHeight="1">
      <c r="A77" s="148" t="s">
        <v>151</v>
      </c>
      <c r="B77" s="61">
        <f>C77*1.72</f>
        <v>247.68</v>
      </c>
      <c r="C77" s="45">
        <v>144</v>
      </c>
      <c r="D77" s="21"/>
      <c r="E77" s="56"/>
      <c r="F77" s="56"/>
      <c r="G77" s="56"/>
      <c r="H77" s="55"/>
      <c r="I77" s="374"/>
    </row>
    <row r="78" spans="1:9" s="9" customFormat="1" ht="30" customHeight="1">
      <c r="A78" s="64" t="s">
        <v>67</v>
      </c>
      <c r="B78" s="43">
        <f>C78*1.25</f>
        <v>22.5</v>
      </c>
      <c r="C78" s="60">
        <v>18</v>
      </c>
      <c r="D78" s="63"/>
      <c r="E78" s="134"/>
      <c r="F78" s="134"/>
      <c r="G78" s="134"/>
      <c r="H78" s="117"/>
      <c r="I78" s="384"/>
    </row>
    <row r="79" spans="1:9" s="9" customFormat="1" ht="30" customHeight="1">
      <c r="A79" s="100" t="s">
        <v>16</v>
      </c>
      <c r="B79" s="45">
        <f>C79*1.33</f>
        <v>23.94</v>
      </c>
      <c r="C79" s="60">
        <v>18</v>
      </c>
      <c r="D79" s="63"/>
      <c r="E79" s="134"/>
      <c r="F79" s="134"/>
      <c r="G79" s="134"/>
      <c r="H79" s="117"/>
      <c r="I79" s="384"/>
    </row>
    <row r="80" spans="1:9" s="9" customFormat="1" ht="30" customHeight="1">
      <c r="A80" s="100" t="s">
        <v>18</v>
      </c>
      <c r="B80" s="49">
        <f>C80*1.19</f>
        <v>14.28</v>
      </c>
      <c r="C80" s="60">
        <v>12</v>
      </c>
      <c r="D80" s="63"/>
      <c r="E80" s="134"/>
      <c r="F80" s="134"/>
      <c r="G80" s="134"/>
      <c r="H80" s="117"/>
      <c r="I80" s="384"/>
    </row>
    <row r="81" spans="1:9" s="9" customFormat="1" ht="30" customHeight="1">
      <c r="A81" s="72" t="s">
        <v>58</v>
      </c>
      <c r="B81" s="60">
        <v>7.875</v>
      </c>
      <c r="C81" s="60">
        <v>7.875</v>
      </c>
      <c r="D81" s="63"/>
      <c r="E81" s="134"/>
      <c r="F81" s="134"/>
      <c r="G81" s="134"/>
      <c r="H81" s="117"/>
      <c r="I81" s="384"/>
    </row>
    <row r="82" spans="1:9" s="9" customFormat="1" ht="30" customHeight="1">
      <c r="A82" s="67" t="s">
        <v>69</v>
      </c>
      <c r="B82" s="60">
        <v>19</v>
      </c>
      <c r="C82" s="60">
        <v>19</v>
      </c>
      <c r="D82" s="63"/>
      <c r="E82" s="134"/>
      <c r="F82" s="134"/>
      <c r="G82" s="134"/>
      <c r="H82" s="117"/>
      <c r="I82" s="401"/>
    </row>
    <row r="83" spans="1:9" s="9" customFormat="1" ht="30" customHeight="1">
      <c r="A83" s="100" t="s">
        <v>11</v>
      </c>
      <c r="B83" s="60">
        <v>5</v>
      </c>
      <c r="C83" s="60">
        <v>5</v>
      </c>
      <c r="D83" s="63"/>
      <c r="E83" s="134"/>
      <c r="F83" s="134"/>
      <c r="G83" s="134"/>
      <c r="H83" s="117"/>
      <c r="I83" s="384"/>
    </row>
    <row r="84" spans="1:9" s="9" customFormat="1" ht="30" customHeight="1">
      <c r="A84" s="67" t="s">
        <v>4</v>
      </c>
      <c r="B84" s="60">
        <v>1</v>
      </c>
      <c r="C84" s="60">
        <v>1</v>
      </c>
      <c r="D84" s="63"/>
      <c r="E84" s="134"/>
      <c r="F84" s="134"/>
      <c r="G84" s="134"/>
      <c r="H84" s="117"/>
      <c r="I84" s="384"/>
    </row>
    <row r="85" spans="1:9" s="9" customFormat="1" ht="30" customHeight="1">
      <c r="A85" s="502" t="s">
        <v>323</v>
      </c>
      <c r="B85" s="502"/>
      <c r="C85" s="502"/>
      <c r="D85" s="24">
        <v>180</v>
      </c>
      <c r="E85" s="56">
        <v>1.44</v>
      </c>
      <c r="F85" s="56">
        <v>6.119999999999999</v>
      </c>
      <c r="G85" s="56">
        <v>25.92</v>
      </c>
      <c r="H85" s="55">
        <v>164.52</v>
      </c>
      <c r="I85" s="259" t="s">
        <v>324</v>
      </c>
    </row>
    <row r="86" spans="1:9" s="9" customFormat="1" ht="30" customHeight="1">
      <c r="A86" s="113" t="s">
        <v>12</v>
      </c>
      <c r="B86" s="168">
        <f>C86*1.33</f>
        <v>226.10000000000002</v>
      </c>
      <c r="C86" s="168">
        <v>170</v>
      </c>
      <c r="D86" s="44"/>
      <c r="E86" s="128"/>
      <c r="F86" s="128"/>
      <c r="G86" s="128"/>
      <c r="H86" s="168"/>
      <c r="I86" s="373"/>
    </row>
    <row r="87" spans="1:9" s="9" customFormat="1" ht="30" customHeight="1">
      <c r="A87" s="113" t="s">
        <v>13</v>
      </c>
      <c r="B87" s="168">
        <f>C87*1.43</f>
        <v>243.1</v>
      </c>
      <c r="C87" s="168">
        <v>170</v>
      </c>
      <c r="D87" s="44"/>
      <c r="E87" s="128"/>
      <c r="F87" s="128"/>
      <c r="G87" s="128"/>
      <c r="H87" s="168"/>
      <c r="I87" s="373"/>
    </row>
    <row r="88" spans="1:9" s="9" customFormat="1" ht="30" customHeight="1">
      <c r="A88" s="113" t="s">
        <v>14</v>
      </c>
      <c r="B88" s="168">
        <f>C88*1.54</f>
        <v>261.8</v>
      </c>
      <c r="C88" s="168">
        <v>170</v>
      </c>
      <c r="D88" s="44"/>
      <c r="E88" s="128"/>
      <c r="F88" s="56"/>
      <c r="G88" s="56"/>
      <c r="H88" s="55"/>
      <c r="I88" s="373"/>
    </row>
    <row r="89" spans="1:9" s="9" customFormat="1" ht="30" customHeight="1">
      <c r="A89" s="67" t="s">
        <v>15</v>
      </c>
      <c r="B89" s="168">
        <f>C89*1.67</f>
        <v>283.9</v>
      </c>
      <c r="C89" s="168">
        <v>170</v>
      </c>
      <c r="D89" s="44"/>
      <c r="E89" s="128"/>
      <c r="F89" s="56"/>
      <c r="G89" s="56"/>
      <c r="H89" s="55"/>
      <c r="I89" s="373"/>
    </row>
    <row r="90" spans="1:9" s="9" customFormat="1" ht="30" customHeight="1">
      <c r="A90" s="113" t="s">
        <v>153</v>
      </c>
      <c r="B90" s="168">
        <v>30</v>
      </c>
      <c r="C90" s="168">
        <v>30</v>
      </c>
      <c r="D90" s="111"/>
      <c r="E90" s="111"/>
      <c r="F90" s="111"/>
      <c r="G90" s="111"/>
      <c r="H90" s="111"/>
      <c r="I90" s="428"/>
    </row>
    <row r="91" spans="1:9" s="9" customFormat="1" ht="30" customHeight="1">
      <c r="A91" s="113" t="s">
        <v>18</v>
      </c>
      <c r="B91" s="168">
        <f>C91*1.19</f>
        <v>21.419999999999998</v>
      </c>
      <c r="C91" s="111">
        <v>18</v>
      </c>
      <c r="D91" s="111"/>
      <c r="E91" s="203"/>
      <c r="F91" s="203"/>
      <c r="G91" s="203"/>
      <c r="H91" s="203"/>
      <c r="I91" s="428"/>
    </row>
    <row r="92" spans="1:9" s="9" customFormat="1" ht="30" customHeight="1">
      <c r="A92" s="113" t="s">
        <v>19</v>
      </c>
      <c r="B92" s="168">
        <v>6</v>
      </c>
      <c r="C92" s="168">
        <v>6</v>
      </c>
      <c r="D92" s="111"/>
      <c r="E92" s="128"/>
      <c r="F92" s="128"/>
      <c r="G92" s="128"/>
      <c r="H92" s="168"/>
      <c r="I92" s="373"/>
    </row>
    <row r="93" spans="1:9" s="9" customFormat="1" ht="30" customHeight="1">
      <c r="A93" s="113" t="s">
        <v>119</v>
      </c>
      <c r="B93" s="111"/>
      <c r="C93" s="111">
        <v>10</v>
      </c>
      <c r="D93" s="111"/>
      <c r="E93" s="203"/>
      <c r="F93" s="226"/>
      <c r="G93" s="226"/>
      <c r="H93" s="203"/>
      <c r="I93" s="428"/>
    </row>
    <row r="94" spans="1:33" s="9" customFormat="1" ht="30" customHeight="1">
      <c r="A94" s="242" t="s">
        <v>523</v>
      </c>
      <c r="B94" s="54">
        <v>200</v>
      </c>
      <c r="C94" s="54">
        <v>200</v>
      </c>
      <c r="D94" s="54">
        <v>200</v>
      </c>
      <c r="E94" s="56">
        <v>0.5</v>
      </c>
      <c r="F94" s="56">
        <v>0.1</v>
      </c>
      <c r="G94" s="56">
        <v>28</v>
      </c>
      <c r="H94" s="55">
        <f>G94*4+F94*9+E94*4</f>
        <v>114.9</v>
      </c>
      <c r="I94" s="261" t="s">
        <v>237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s="80" customFormat="1" ht="30" customHeight="1">
      <c r="A95" s="506" t="s">
        <v>76</v>
      </c>
      <c r="B95" s="506"/>
      <c r="C95" s="506"/>
      <c r="D95" s="506"/>
      <c r="E95" s="506"/>
      <c r="F95" s="506"/>
      <c r="G95" s="506"/>
      <c r="H95" s="506"/>
      <c r="I95" s="506"/>
      <c r="J95" s="9"/>
      <c r="K95" s="9"/>
      <c r="L95" s="9"/>
      <c r="M95" s="557"/>
      <c r="N95" s="557"/>
      <c r="O95" s="557"/>
      <c r="P95" s="557"/>
      <c r="Q95" s="557"/>
      <c r="R95" s="83"/>
      <c r="S95" s="13"/>
      <c r="T95" s="13"/>
      <c r="U95" s="13"/>
      <c r="V95" s="10"/>
      <c r="W95" s="84"/>
      <c r="X95" s="85"/>
      <c r="Y95" s="86"/>
      <c r="Z95" s="86"/>
      <c r="AA95" s="86"/>
      <c r="AB95" s="86"/>
      <c r="AC95" s="86"/>
      <c r="AD95" s="86"/>
      <c r="AE95" s="87"/>
      <c r="AF95" s="87"/>
      <c r="AG95" s="89"/>
    </row>
    <row r="96" spans="1:33" s="80" customFormat="1" ht="30" customHeight="1">
      <c r="A96" s="511" t="s">
        <v>281</v>
      </c>
      <c r="B96" s="511"/>
      <c r="C96" s="511"/>
      <c r="D96" s="31">
        <v>200</v>
      </c>
      <c r="E96" s="32">
        <v>1</v>
      </c>
      <c r="F96" s="32">
        <v>0</v>
      </c>
      <c r="G96" s="32">
        <v>25.2</v>
      </c>
      <c r="H96" s="55">
        <f>G96*4+F96*9+E96*4</f>
        <v>104.8</v>
      </c>
      <c r="I96" s="260" t="s">
        <v>248</v>
      </c>
      <c r="J96" s="9"/>
      <c r="K96" s="9"/>
      <c r="L96" s="9"/>
      <c r="M96" s="88"/>
      <c r="N96" s="89"/>
      <c r="O96" s="89"/>
      <c r="P96" s="90"/>
      <c r="Q96" s="86"/>
      <c r="R96" s="86"/>
      <c r="S96" s="86"/>
      <c r="T96" s="86"/>
      <c r="U96" s="86"/>
      <c r="V96" s="86"/>
      <c r="W96" s="84"/>
      <c r="X96" s="109"/>
      <c r="Y96" s="86"/>
      <c r="Z96" s="86"/>
      <c r="AA96" s="86"/>
      <c r="AB96" s="86"/>
      <c r="AC96" s="86"/>
      <c r="AD96" s="86"/>
      <c r="AE96" s="87"/>
      <c r="AF96" s="87"/>
      <c r="AG96" s="89"/>
    </row>
    <row r="97" spans="1:33" s="80" customFormat="1" ht="30" customHeight="1">
      <c r="A97" s="67" t="s">
        <v>79</v>
      </c>
      <c r="B97" s="44">
        <v>25</v>
      </c>
      <c r="C97" s="44">
        <v>25</v>
      </c>
      <c r="D97" s="44"/>
      <c r="E97" s="49"/>
      <c r="F97" s="49"/>
      <c r="G97" s="49"/>
      <c r="H97" s="49"/>
      <c r="I97" s="391"/>
      <c r="J97" s="9"/>
      <c r="K97" s="9"/>
      <c r="L97" s="9"/>
      <c r="M97" s="88"/>
      <c r="N97" s="89"/>
      <c r="O97" s="89"/>
      <c r="P97" s="90"/>
      <c r="Q97" s="86"/>
      <c r="R97" s="86"/>
      <c r="S97" s="86"/>
      <c r="T97" s="84"/>
      <c r="U97" s="84"/>
      <c r="V97" s="84"/>
      <c r="W97" s="84"/>
      <c r="X97" s="109"/>
      <c r="Y97" s="86"/>
      <c r="Z97" s="86"/>
      <c r="AA97" s="86"/>
      <c r="AB97" s="86"/>
      <c r="AC97" s="86"/>
      <c r="AD97" s="86"/>
      <c r="AE97" s="87"/>
      <c r="AF97" s="87"/>
      <c r="AG97" s="89"/>
    </row>
    <row r="98" spans="1:33" s="80" customFormat="1" ht="30" customHeight="1">
      <c r="A98" s="67" t="s">
        <v>4</v>
      </c>
      <c r="B98" s="44">
        <v>10</v>
      </c>
      <c r="C98" s="44">
        <v>10</v>
      </c>
      <c r="D98" s="44"/>
      <c r="E98" s="49"/>
      <c r="F98" s="49"/>
      <c r="G98" s="49"/>
      <c r="H98" s="49"/>
      <c r="I98" s="398"/>
      <c r="J98" s="9"/>
      <c r="K98" s="9"/>
      <c r="L98" s="9"/>
      <c r="M98" s="88"/>
      <c r="N98" s="89"/>
      <c r="O98" s="89"/>
      <c r="P98" s="90"/>
      <c r="Q98" s="86"/>
      <c r="R98" s="86"/>
      <c r="S98" s="86"/>
      <c r="T98" s="84"/>
      <c r="U98" s="84"/>
      <c r="V98" s="84"/>
      <c r="W98" s="84"/>
      <c r="X98" s="109"/>
      <c r="Y98" s="86"/>
      <c r="Z98" s="86"/>
      <c r="AA98" s="86"/>
      <c r="AB98" s="86"/>
      <c r="AC98" s="86"/>
      <c r="AD98" s="86"/>
      <c r="AE98" s="87"/>
      <c r="AF98" s="87"/>
      <c r="AG98" s="89"/>
    </row>
    <row r="99" spans="1:33" s="9" customFormat="1" ht="30" customHeight="1">
      <c r="A99" s="435" t="s">
        <v>20</v>
      </c>
      <c r="B99" s="164">
        <v>50</v>
      </c>
      <c r="C99" s="164">
        <v>50</v>
      </c>
      <c r="D99" s="103">
        <v>50</v>
      </c>
      <c r="E99" s="110">
        <v>2.5</v>
      </c>
      <c r="F99" s="110">
        <v>0.7000000000000001</v>
      </c>
      <c r="G99" s="110">
        <v>20.3</v>
      </c>
      <c r="H99" s="141">
        <v>94.9</v>
      </c>
      <c r="I99" s="360"/>
      <c r="M99" s="3"/>
      <c r="N99" s="16"/>
      <c r="O99" s="16"/>
      <c r="P99" s="11"/>
      <c r="Q99" s="15"/>
      <c r="R99" s="15"/>
      <c r="S99" s="15"/>
      <c r="T99" s="14"/>
      <c r="U99" s="14"/>
      <c r="V99" s="14"/>
      <c r="W99" s="14"/>
      <c r="X99" s="152"/>
      <c r="Y99" s="15"/>
      <c r="Z99" s="15"/>
      <c r="AA99" s="15"/>
      <c r="AB99" s="15"/>
      <c r="AC99" s="15"/>
      <c r="AD99" s="15"/>
      <c r="AE99" s="4"/>
      <c r="AF99" s="4"/>
      <c r="AG99" s="16"/>
    </row>
    <row r="100" spans="1:33" s="9" customFormat="1" ht="30" customHeight="1">
      <c r="A100" s="503" t="s">
        <v>80</v>
      </c>
      <c r="B100" s="503"/>
      <c r="C100" s="503"/>
      <c r="D100" s="103">
        <v>50</v>
      </c>
      <c r="E100" s="128"/>
      <c r="F100" s="128"/>
      <c r="G100" s="128"/>
      <c r="H100" s="128"/>
      <c r="I100" s="373"/>
      <c r="M100" s="3"/>
      <c r="N100" s="16"/>
      <c r="O100" s="16"/>
      <c r="P100" s="11"/>
      <c r="Q100" s="15"/>
      <c r="R100" s="15"/>
      <c r="S100" s="15"/>
      <c r="T100" s="14"/>
      <c r="U100" s="14"/>
      <c r="V100" s="14"/>
      <c r="W100" s="14"/>
      <c r="X100" s="152"/>
      <c r="Y100" s="15"/>
      <c r="Z100" s="15"/>
      <c r="AA100" s="15"/>
      <c r="AB100" s="15"/>
      <c r="AC100" s="15"/>
      <c r="AD100" s="15"/>
      <c r="AE100" s="4"/>
      <c r="AF100" s="4"/>
      <c r="AG100" s="16"/>
    </row>
    <row r="101" spans="1:33" s="9" customFormat="1" ht="30" customHeight="1">
      <c r="A101" s="434" t="s">
        <v>27</v>
      </c>
      <c r="B101" s="111">
        <v>50</v>
      </c>
      <c r="C101" s="111">
        <v>50</v>
      </c>
      <c r="D101" s="54">
        <v>50</v>
      </c>
      <c r="E101" s="56">
        <v>1.8</v>
      </c>
      <c r="F101" s="56">
        <v>0.3</v>
      </c>
      <c r="G101" s="56">
        <v>23.5</v>
      </c>
      <c r="H101" s="55">
        <v>101.30000000000001</v>
      </c>
      <c r="I101" s="374"/>
      <c r="M101" s="3"/>
      <c r="N101" s="16"/>
      <c r="O101" s="16"/>
      <c r="P101" s="11"/>
      <c r="Q101" s="15"/>
      <c r="R101" s="15"/>
      <c r="S101" s="15"/>
      <c r="T101" s="14"/>
      <c r="U101" s="14"/>
      <c r="V101" s="14"/>
      <c r="W101" s="14"/>
      <c r="X101" s="152"/>
      <c r="Y101" s="15"/>
      <c r="Z101" s="15"/>
      <c r="AA101" s="15"/>
      <c r="AB101" s="15"/>
      <c r="AC101" s="15"/>
      <c r="AD101" s="15"/>
      <c r="AE101" s="4"/>
      <c r="AF101" s="4"/>
      <c r="AG101" s="16"/>
    </row>
    <row r="102" spans="1:33" s="9" customFormat="1" ht="30" customHeight="1">
      <c r="A102" s="502" t="s">
        <v>97</v>
      </c>
      <c r="B102" s="502"/>
      <c r="C102" s="502"/>
      <c r="D102" s="31">
        <v>160</v>
      </c>
      <c r="E102" s="32">
        <v>0.4</v>
      </c>
      <c r="F102" s="32">
        <v>0.1</v>
      </c>
      <c r="G102" s="32">
        <v>15</v>
      </c>
      <c r="H102" s="30">
        <f>E102*4+F102*9+G102*4</f>
        <v>62.5</v>
      </c>
      <c r="I102" s="260" t="s">
        <v>231</v>
      </c>
      <c r="M102" s="3"/>
      <c r="N102" s="16"/>
      <c r="O102" s="16"/>
      <c r="P102" s="11"/>
      <c r="Q102" s="15"/>
      <c r="R102" s="15"/>
      <c r="S102" s="15"/>
      <c r="T102" s="14"/>
      <c r="U102" s="14"/>
      <c r="V102" s="14"/>
      <c r="W102" s="14"/>
      <c r="X102" s="152"/>
      <c r="Y102" s="15"/>
      <c r="Z102" s="15"/>
      <c r="AA102" s="15"/>
      <c r="AB102" s="15"/>
      <c r="AC102" s="15"/>
      <c r="AD102" s="15"/>
      <c r="AE102" s="4"/>
      <c r="AF102" s="4"/>
      <c r="AG102" s="16"/>
    </row>
    <row r="103" spans="1:33" s="9" customFormat="1" ht="30" customHeight="1">
      <c r="A103" s="544" t="s">
        <v>24</v>
      </c>
      <c r="B103" s="544"/>
      <c r="C103" s="544"/>
      <c r="D103" s="544"/>
      <c r="E103" s="137">
        <f>++E42+E8</f>
        <v>55.94</v>
      </c>
      <c r="F103" s="137">
        <f>++F42+F8</f>
        <v>52.32000000000001</v>
      </c>
      <c r="G103" s="137">
        <f>++G42+G8</f>
        <v>225.62</v>
      </c>
      <c r="H103" s="137">
        <f>++H42+H8</f>
        <v>1591.02</v>
      </c>
      <c r="I103" s="393"/>
      <c r="M103" s="3"/>
      <c r="N103" s="16"/>
      <c r="O103" s="16"/>
      <c r="P103" s="11"/>
      <c r="Q103" s="15"/>
      <c r="R103" s="15"/>
      <c r="S103" s="15"/>
      <c r="T103" s="14"/>
      <c r="U103" s="14"/>
      <c r="V103" s="14"/>
      <c r="W103" s="14"/>
      <c r="X103" s="152"/>
      <c r="Y103" s="15"/>
      <c r="Z103" s="15"/>
      <c r="AA103" s="15"/>
      <c r="AB103" s="15"/>
      <c r="AC103" s="15"/>
      <c r="AD103" s="15"/>
      <c r="AE103" s="4"/>
      <c r="AF103" s="4"/>
      <c r="AG103" s="16"/>
    </row>
    <row r="104" spans="1:33" s="9" customFormat="1" ht="30" customHeight="1">
      <c r="A104" s="559" t="s">
        <v>73</v>
      </c>
      <c r="B104" s="559"/>
      <c r="C104" s="559"/>
      <c r="D104" s="559"/>
      <c r="E104" s="559"/>
      <c r="F104" s="559"/>
      <c r="G104" s="559"/>
      <c r="H104" s="559"/>
      <c r="I104" s="559"/>
      <c r="M104" s="3"/>
      <c r="N104" s="16"/>
      <c r="O104" s="16"/>
      <c r="P104" s="11"/>
      <c r="Q104" s="15"/>
      <c r="R104" s="15"/>
      <c r="S104" s="15"/>
      <c r="T104" s="14"/>
      <c r="U104" s="14"/>
      <c r="V104" s="14"/>
      <c r="W104" s="14"/>
      <c r="X104" s="152"/>
      <c r="Y104" s="15"/>
      <c r="Z104" s="15"/>
      <c r="AA104" s="15"/>
      <c r="AB104" s="15"/>
      <c r="AC104" s="15"/>
      <c r="AD104" s="15"/>
      <c r="AE104" s="4"/>
      <c r="AF104" s="4"/>
      <c r="AG104" s="16"/>
    </row>
    <row r="105" spans="1:33" s="9" customFormat="1" ht="30" customHeight="1">
      <c r="A105" s="513" t="s">
        <v>0</v>
      </c>
      <c r="B105" s="512" t="s">
        <v>6</v>
      </c>
      <c r="C105" s="512" t="s">
        <v>7</v>
      </c>
      <c r="D105" s="513" t="s">
        <v>5</v>
      </c>
      <c r="E105" s="513"/>
      <c r="F105" s="513"/>
      <c r="G105" s="513"/>
      <c r="H105" s="513"/>
      <c r="I105" s="513"/>
      <c r="M105" s="3"/>
      <c r="N105" s="16"/>
      <c r="O105" s="16"/>
      <c r="P105" s="11"/>
      <c r="Q105" s="15"/>
      <c r="R105" s="15"/>
      <c r="S105" s="15"/>
      <c r="T105" s="14"/>
      <c r="U105" s="14"/>
      <c r="V105" s="14"/>
      <c r="W105" s="14"/>
      <c r="X105" s="152"/>
      <c r="Y105" s="15"/>
      <c r="Z105" s="15"/>
      <c r="AA105" s="15"/>
      <c r="AB105" s="15"/>
      <c r="AC105" s="15"/>
      <c r="AD105" s="15"/>
      <c r="AE105" s="4"/>
      <c r="AF105" s="4"/>
      <c r="AG105" s="16"/>
    </row>
    <row r="106" spans="1:33" s="9" customFormat="1" ht="30" customHeight="1">
      <c r="A106" s="513"/>
      <c r="B106" s="512"/>
      <c r="C106" s="512"/>
      <c r="D106" s="419" t="s">
        <v>8</v>
      </c>
      <c r="E106" s="418" t="s">
        <v>1</v>
      </c>
      <c r="F106" s="418" t="s">
        <v>2</v>
      </c>
      <c r="G106" s="418" t="s">
        <v>9</v>
      </c>
      <c r="H106" s="417" t="s">
        <v>3</v>
      </c>
      <c r="I106" s="420" t="s">
        <v>211</v>
      </c>
      <c r="M106" s="3"/>
      <c r="N106" s="16"/>
      <c r="O106" s="16"/>
      <c r="P106" s="11"/>
      <c r="Q106" s="15"/>
      <c r="R106" s="15"/>
      <c r="S106" s="15"/>
      <c r="T106" s="14"/>
      <c r="U106" s="14"/>
      <c r="V106" s="14"/>
      <c r="W106" s="14"/>
      <c r="X106" s="152"/>
      <c r="Y106" s="15"/>
      <c r="Z106" s="15"/>
      <c r="AA106" s="15"/>
      <c r="AB106" s="15"/>
      <c r="AC106" s="15"/>
      <c r="AD106" s="15"/>
      <c r="AE106" s="4"/>
      <c r="AF106" s="4"/>
      <c r="AG106" s="16"/>
    </row>
    <row r="107" spans="1:33" s="80" customFormat="1" ht="30" customHeight="1">
      <c r="A107" s="516" t="s">
        <v>112</v>
      </c>
      <c r="B107" s="516"/>
      <c r="C107" s="516"/>
      <c r="D107" s="140">
        <f>D129+D118+D133+D136+D108</f>
        <v>720</v>
      </c>
      <c r="E107" s="122">
        <f>E129+E108+E118+E133+E136+E137+E139</f>
        <v>25.9</v>
      </c>
      <c r="F107" s="122">
        <f>F129+F108+F118+F133+F136+F137+F139</f>
        <v>21.999999999999996</v>
      </c>
      <c r="G107" s="122">
        <f>G129+G108+G118+G133+G136+G137+G139</f>
        <v>77.10000000000001</v>
      </c>
      <c r="H107" s="122">
        <f>H129+H108+H118+H133+H136+H137+H139</f>
        <v>613.7</v>
      </c>
      <c r="I107" s="381"/>
      <c r="J107" s="9"/>
      <c r="M107" s="88"/>
      <c r="N107" s="89"/>
      <c r="O107" s="89"/>
      <c r="P107" s="90"/>
      <c r="Q107" s="86"/>
      <c r="R107" s="86"/>
      <c r="S107" s="86"/>
      <c r="T107" s="84"/>
      <c r="U107" s="84"/>
      <c r="V107" s="84"/>
      <c r="W107" s="84"/>
      <c r="X107" s="153"/>
      <c r="Y107" s="86"/>
      <c r="Z107" s="86"/>
      <c r="AA107" s="86"/>
      <c r="AB107" s="86"/>
      <c r="AC107" s="86"/>
      <c r="AD107" s="86"/>
      <c r="AE107" s="87"/>
      <c r="AF107" s="87"/>
      <c r="AG107" s="89"/>
    </row>
    <row r="108" spans="1:33" s="9" customFormat="1" ht="42.75" customHeight="1">
      <c r="A108" s="504" t="s">
        <v>514</v>
      </c>
      <c r="B108" s="504"/>
      <c r="C108" s="504"/>
      <c r="D108" s="54">
        <v>120</v>
      </c>
      <c r="E108" s="56">
        <v>19.6</v>
      </c>
      <c r="F108" s="56">
        <v>16.9</v>
      </c>
      <c r="G108" s="56">
        <v>12.6</v>
      </c>
      <c r="H108" s="55">
        <f>G108*4+F108*9+E108*4</f>
        <v>280.9</v>
      </c>
      <c r="I108" s="259" t="s">
        <v>515</v>
      </c>
      <c r="K108" s="1" t="s">
        <v>44</v>
      </c>
      <c r="L108" s="1"/>
      <c r="M108" s="3"/>
      <c r="N108" s="16"/>
      <c r="O108" s="16"/>
      <c r="P108" s="11"/>
      <c r="Q108" s="15"/>
      <c r="R108" s="15"/>
      <c r="S108" s="15"/>
      <c r="T108" s="14"/>
      <c r="U108" s="14"/>
      <c r="V108" s="14"/>
      <c r="W108" s="14"/>
      <c r="X108" s="152"/>
      <c r="Y108" s="15"/>
      <c r="Z108" s="15"/>
      <c r="AA108" s="15"/>
      <c r="AB108" s="15"/>
      <c r="AC108" s="15"/>
      <c r="AD108" s="15"/>
      <c r="AE108" s="4"/>
      <c r="AF108" s="4"/>
      <c r="AG108" s="16"/>
    </row>
    <row r="109" spans="1:33" s="9" customFormat="1" ht="34.5" customHeight="1">
      <c r="A109" s="148" t="s">
        <v>421</v>
      </c>
      <c r="B109" s="61">
        <f>C109*1.43</f>
        <v>178.75</v>
      </c>
      <c r="C109" s="45">
        <v>125</v>
      </c>
      <c r="D109" s="44"/>
      <c r="E109" s="49"/>
      <c r="F109" s="49"/>
      <c r="G109" s="49"/>
      <c r="H109" s="49"/>
      <c r="I109" s="440"/>
      <c r="K109" s="347" t="s">
        <v>176</v>
      </c>
      <c r="L109" s="9">
        <f>D202+B139</f>
        <v>50</v>
      </c>
      <c r="M109" s="3"/>
      <c r="N109" s="16"/>
      <c r="O109" s="16"/>
      <c r="P109" s="11"/>
      <c r="Q109" s="15"/>
      <c r="R109" s="15"/>
      <c r="S109" s="15"/>
      <c r="T109" s="14"/>
      <c r="U109" s="14"/>
      <c r="V109" s="14"/>
      <c r="W109" s="14"/>
      <c r="X109" s="152"/>
      <c r="Y109" s="15"/>
      <c r="Z109" s="15"/>
      <c r="AA109" s="15"/>
      <c r="AB109" s="15"/>
      <c r="AC109" s="15"/>
      <c r="AD109" s="15"/>
      <c r="AE109" s="4"/>
      <c r="AF109" s="4"/>
      <c r="AG109" s="16"/>
    </row>
    <row r="110" spans="1:33" s="9" customFormat="1" ht="34.5" customHeight="1">
      <c r="A110" s="148" t="s">
        <v>422</v>
      </c>
      <c r="B110" s="61">
        <f>C110*1.72</f>
        <v>215</v>
      </c>
      <c r="C110" s="45">
        <v>125</v>
      </c>
      <c r="D110" s="44"/>
      <c r="E110" s="49"/>
      <c r="F110" s="49"/>
      <c r="G110" s="49"/>
      <c r="H110" s="45"/>
      <c r="I110" s="440"/>
      <c r="K110" s="347" t="s">
        <v>136</v>
      </c>
      <c r="L110" s="6">
        <f>+D200+D137</f>
        <v>60</v>
      </c>
      <c r="M110" s="3"/>
      <c r="N110" s="16"/>
      <c r="O110" s="16"/>
      <c r="P110" s="11"/>
      <c r="Q110" s="15"/>
      <c r="R110" s="15"/>
      <c r="S110" s="15"/>
      <c r="T110" s="14"/>
      <c r="U110" s="14"/>
      <c r="V110" s="14"/>
      <c r="W110" s="14"/>
      <c r="X110" s="152"/>
      <c r="Y110" s="15"/>
      <c r="Z110" s="15"/>
      <c r="AA110" s="15"/>
      <c r="AB110" s="15"/>
      <c r="AC110" s="15"/>
      <c r="AD110" s="15"/>
      <c r="AE110" s="4"/>
      <c r="AF110" s="4"/>
      <c r="AG110" s="16"/>
    </row>
    <row r="111" spans="1:33" s="9" customFormat="1" ht="34.5" customHeight="1">
      <c r="A111" s="148" t="s">
        <v>423</v>
      </c>
      <c r="B111" s="61">
        <f>C111*1.35</f>
        <v>160.65</v>
      </c>
      <c r="C111" s="168">
        <v>119</v>
      </c>
      <c r="D111" s="44"/>
      <c r="E111" s="128"/>
      <c r="F111" s="128"/>
      <c r="G111" s="128"/>
      <c r="H111" s="168"/>
      <c r="I111" s="128"/>
      <c r="K111" s="105" t="s">
        <v>162</v>
      </c>
      <c r="L111" s="18">
        <f>C187+C112+C183</f>
        <v>21.5</v>
      </c>
      <c r="M111" s="3"/>
      <c r="N111" s="16"/>
      <c r="O111" s="16"/>
      <c r="P111" s="11"/>
      <c r="Q111" s="15"/>
      <c r="R111" s="15"/>
      <c r="S111" s="15"/>
      <c r="T111" s="14"/>
      <c r="U111" s="14"/>
      <c r="V111" s="14"/>
      <c r="W111" s="14"/>
      <c r="X111" s="152"/>
      <c r="Y111" s="15"/>
      <c r="Z111" s="15"/>
      <c r="AA111" s="15"/>
      <c r="AB111" s="15"/>
      <c r="AC111" s="15"/>
      <c r="AD111" s="15"/>
      <c r="AE111" s="4"/>
      <c r="AF111" s="4"/>
      <c r="AG111" s="16"/>
    </row>
    <row r="112" spans="1:33" s="9" customFormat="1" ht="30" customHeight="1">
      <c r="A112" s="113" t="s">
        <v>21</v>
      </c>
      <c r="B112" s="168">
        <v>12</v>
      </c>
      <c r="C112" s="168">
        <v>12</v>
      </c>
      <c r="D112" s="44"/>
      <c r="E112" s="128"/>
      <c r="F112" s="128"/>
      <c r="G112" s="128"/>
      <c r="H112" s="168"/>
      <c r="I112" s="128"/>
      <c r="K112" s="347" t="s">
        <v>72</v>
      </c>
      <c r="L112" s="18">
        <f>B191+C177</f>
        <v>79</v>
      </c>
      <c r="M112" s="3"/>
      <c r="N112" s="16"/>
      <c r="O112" s="16"/>
      <c r="P112" s="11"/>
      <c r="Q112" s="15"/>
      <c r="R112" s="15"/>
      <c r="S112" s="15"/>
      <c r="T112" s="14"/>
      <c r="U112" s="14"/>
      <c r="V112" s="14"/>
      <c r="W112" s="14"/>
      <c r="X112" s="152"/>
      <c r="Y112" s="15"/>
      <c r="Z112" s="15"/>
      <c r="AA112" s="15"/>
      <c r="AB112" s="15"/>
      <c r="AC112" s="15"/>
      <c r="AD112" s="15"/>
      <c r="AE112" s="4"/>
      <c r="AF112" s="4"/>
      <c r="AG112" s="16"/>
    </row>
    <row r="113" spans="1:33" s="9" customFormat="1" ht="30" customHeight="1">
      <c r="A113" s="113" t="s">
        <v>424</v>
      </c>
      <c r="B113" s="168"/>
      <c r="C113" s="168">
        <v>105</v>
      </c>
      <c r="D113" s="44"/>
      <c r="E113" s="128"/>
      <c r="F113" s="128"/>
      <c r="G113" s="128"/>
      <c r="H113" s="168"/>
      <c r="I113" s="128"/>
      <c r="K113" s="347" t="s">
        <v>177</v>
      </c>
      <c r="L113" s="18"/>
      <c r="M113" s="3"/>
      <c r="N113" s="16"/>
      <c r="O113" s="16"/>
      <c r="P113" s="11"/>
      <c r="Q113" s="15"/>
      <c r="R113" s="15"/>
      <c r="S113" s="15"/>
      <c r="T113" s="14"/>
      <c r="U113" s="14"/>
      <c r="V113" s="14"/>
      <c r="W113" s="14"/>
      <c r="X113" s="152"/>
      <c r="Y113" s="15"/>
      <c r="Z113" s="15"/>
      <c r="AA113" s="15"/>
      <c r="AB113" s="15"/>
      <c r="AC113" s="15"/>
      <c r="AD113" s="15"/>
      <c r="AE113" s="4"/>
      <c r="AF113" s="4"/>
      <c r="AG113" s="16"/>
    </row>
    <row r="114" spans="1:33" s="9" customFormat="1" ht="30" customHeight="1">
      <c r="A114" s="67" t="s">
        <v>425</v>
      </c>
      <c r="B114" s="45"/>
      <c r="C114" s="45"/>
      <c r="D114" s="44"/>
      <c r="E114" s="128"/>
      <c r="F114" s="128"/>
      <c r="G114" s="128"/>
      <c r="H114" s="168"/>
      <c r="I114" s="128"/>
      <c r="K114" s="105" t="s">
        <v>28</v>
      </c>
      <c r="L114" s="18">
        <f>C164+C142+C119</f>
        <v>227</v>
      </c>
      <c r="M114" s="3"/>
      <c r="N114" s="16"/>
      <c r="O114" s="16"/>
      <c r="P114" s="11"/>
      <c r="Q114" s="15"/>
      <c r="R114" s="15"/>
      <c r="S114" s="15"/>
      <c r="T114" s="14"/>
      <c r="U114" s="14"/>
      <c r="V114" s="14"/>
      <c r="W114" s="14"/>
      <c r="X114" s="152"/>
      <c r="Y114" s="15"/>
      <c r="Z114" s="15"/>
      <c r="AA114" s="15"/>
      <c r="AB114" s="15"/>
      <c r="AC114" s="15"/>
      <c r="AD114" s="15"/>
      <c r="AE114" s="4"/>
      <c r="AF114" s="4"/>
      <c r="AG114" s="16"/>
    </row>
    <row r="115" spans="1:33" s="9" customFormat="1" ht="30" customHeight="1">
      <c r="A115" s="67" t="s">
        <v>19</v>
      </c>
      <c r="B115" s="45">
        <v>5</v>
      </c>
      <c r="C115" s="45">
        <v>5</v>
      </c>
      <c r="D115" s="44"/>
      <c r="E115" s="128"/>
      <c r="F115" s="128"/>
      <c r="G115" s="128"/>
      <c r="H115" s="168"/>
      <c r="I115" s="128"/>
      <c r="K115" s="347" t="s">
        <v>353</v>
      </c>
      <c r="L115" s="18">
        <f>C160+C162+C168+C169+C170+C173+C179+C189++C147+C150+C148+C157+C130</f>
        <v>216.7</v>
      </c>
      <c r="M115" s="3"/>
      <c r="N115" s="16"/>
      <c r="O115" s="16"/>
      <c r="P115" s="11"/>
      <c r="Q115" s="15"/>
      <c r="R115" s="15"/>
      <c r="S115" s="15"/>
      <c r="T115" s="14"/>
      <c r="U115" s="14"/>
      <c r="V115" s="14"/>
      <c r="W115" s="14"/>
      <c r="X115" s="152"/>
      <c r="Y115" s="15"/>
      <c r="Z115" s="15"/>
      <c r="AA115" s="15"/>
      <c r="AB115" s="15"/>
      <c r="AC115" s="15"/>
      <c r="AD115" s="15"/>
      <c r="AE115" s="4"/>
      <c r="AF115" s="4"/>
      <c r="AG115" s="16"/>
    </row>
    <row r="116" spans="1:33" s="9" customFormat="1" ht="30" customHeight="1">
      <c r="A116" s="113" t="s">
        <v>288</v>
      </c>
      <c r="B116" s="45">
        <v>16</v>
      </c>
      <c r="C116" s="45">
        <v>15</v>
      </c>
      <c r="D116" s="44"/>
      <c r="E116" s="128"/>
      <c r="F116" s="128"/>
      <c r="G116" s="128"/>
      <c r="H116" s="168"/>
      <c r="I116" s="128"/>
      <c r="K116" s="105" t="s">
        <v>29</v>
      </c>
      <c r="L116" s="9">
        <f>+D136</f>
        <v>150</v>
      </c>
      <c r="M116" s="3"/>
      <c r="N116" s="16"/>
      <c r="O116" s="16"/>
      <c r="P116" s="11"/>
      <c r="Q116" s="15"/>
      <c r="R116" s="15"/>
      <c r="S116" s="15"/>
      <c r="T116" s="14"/>
      <c r="U116" s="14"/>
      <c r="V116" s="14"/>
      <c r="W116" s="14"/>
      <c r="X116" s="152"/>
      <c r="Y116" s="15"/>
      <c r="Z116" s="15"/>
      <c r="AA116" s="15"/>
      <c r="AB116" s="15"/>
      <c r="AC116" s="15"/>
      <c r="AD116" s="15"/>
      <c r="AE116" s="4"/>
      <c r="AF116" s="4"/>
      <c r="AG116" s="16"/>
    </row>
    <row r="117" spans="1:33" s="9" customFormat="1" ht="30" customHeight="1">
      <c r="A117" s="67" t="s">
        <v>11</v>
      </c>
      <c r="B117" s="45">
        <v>4</v>
      </c>
      <c r="C117" s="45">
        <v>4</v>
      </c>
      <c r="D117" s="44"/>
      <c r="E117" s="128"/>
      <c r="F117" s="128"/>
      <c r="G117" s="56"/>
      <c r="H117" s="55"/>
      <c r="I117" s="128"/>
      <c r="K117" s="105" t="s">
        <v>178</v>
      </c>
      <c r="M117" s="3"/>
      <c r="N117" s="16"/>
      <c r="O117" s="16"/>
      <c r="P117" s="11"/>
      <c r="Q117" s="15"/>
      <c r="R117" s="15"/>
      <c r="S117" s="15"/>
      <c r="T117" s="14"/>
      <c r="U117" s="14"/>
      <c r="V117" s="14"/>
      <c r="W117" s="14"/>
      <c r="X117" s="152"/>
      <c r="Y117" s="15"/>
      <c r="Z117" s="15"/>
      <c r="AA117" s="15"/>
      <c r="AB117" s="15"/>
      <c r="AC117" s="15"/>
      <c r="AD117" s="15"/>
      <c r="AE117" s="4"/>
      <c r="AF117" s="4"/>
      <c r="AG117" s="16"/>
    </row>
    <row r="118" spans="1:12" s="9" customFormat="1" ht="30" customHeight="1">
      <c r="A118" s="508" t="s">
        <v>250</v>
      </c>
      <c r="B118" s="508"/>
      <c r="C118" s="508"/>
      <c r="D118" s="47">
        <v>180</v>
      </c>
      <c r="E118" s="110">
        <v>3.6</v>
      </c>
      <c r="F118" s="110">
        <v>4.5</v>
      </c>
      <c r="G118" s="110">
        <v>23.1</v>
      </c>
      <c r="H118" s="55">
        <f>G118*4+F118*9+E118*4</f>
        <v>147.3</v>
      </c>
      <c r="I118" s="261" t="s">
        <v>251</v>
      </c>
      <c r="K118" s="347" t="s">
        <v>354</v>
      </c>
      <c r="L118" s="6">
        <f>++B135</f>
        <v>12</v>
      </c>
    </row>
    <row r="119" spans="1:12" s="9" customFormat="1" ht="30" customHeight="1">
      <c r="A119" s="67" t="s">
        <v>12</v>
      </c>
      <c r="B119" s="45">
        <f>C119*1.33</f>
        <v>203.49</v>
      </c>
      <c r="C119" s="45">
        <v>153</v>
      </c>
      <c r="D119" s="44"/>
      <c r="E119" s="128"/>
      <c r="F119" s="128"/>
      <c r="G119" s="128"/>
      <c r="H119" s="168"/>
      <c r="I119" s="373"/>
      <c r="K119" s="347" t="s">
        <v>395</v>
      </c>
      <c r="L119" s="9">
        <f>D194</f>
        <v>200</v>
      </c>
    </row>
    <row r="120" spans="1:12" s="126" customFormat="1" ht="30" customHeight="1">
      <c r="A120" s="67" t="s">
        <v>13</v>
      </c>
      <c r="B120" s="45">
        <f>C120*1.43</f>
        <v>218.79</v>
      </c>
      <c r="C120" s="45">
        <v>153</v>
      </c>
      <c r="D120" s="44"/>
      <c r="E120" s="128"/>
      <c r="F120" s="128"/>
      <c r="G120" s="128"/>
      <c r="H120" s="168"/>
      <c r="I120" s="373"/>
      <c r="J120" s="9"/>
      <c r="K120" s="105" t="s">
        <v>31</v>
      </c>
      <c r="L120" s="9"/>
    </row>
    <row r="121" spans="1:12" s="9" customFormat="1" ht="30" customHeight="1">
      <c r="A121" s="67" t="s">
        <v>14</v>
      </c>
      <c r="B121" s="45">
        <f>C121*1.54</f>
        <v>235.62</v>
      </c>
      <c r="C121" s="45">
        <v>153</v>
      </c>
      <c r="D121" s="44"/>
      <c r="E121" s="128"/>
      <c r="F121" s="56"/>
      <c r="G121" s="56"/>
      <c r="H121" s="55"/>
      <c r="I121" s="373"/>
      <c r="K121" s="105" t="s">
        <v>77</v>
      </c>
      <c r="L121" s="18"/>
    </row>
    <row r="122" spans="1:11" s="9" customFormat="1" ht="30" customHeight="1">
      <c r="A122" s="67" t="s">
        <v>15</v>
      </c>
      <c r="B122" s="45">
        <f>C122*1.67</f>
        <v>255.51</v>
      </c>
      <c r="C122" s="45">
        <v>153</v>
      </c>
      <c r="D122" s="44"/>
      <c r="E122" s="128"/>
      <c r="F122" s="56"/>
      <c r="G122" s="56"/>
      <c r="H122" s="55"/>
      <c r="I122" s="373"/>
      <c r="K122" s="347" t="s">
        <v>39</v>
      </c>
    </row>
    <row r="123" spans="1:11" s="9" customFormat="1" ht="30" customHeight="1">
      <c r="A123" s="67" t="s">
        <v>56</v>
      </c>
      <c r="B123" s="5">
        <v>28</v>
      </c>
      <c r="C123" s="5">
        <v>28</v>
      </c>
      <c r="D123" s="44"/>
      <c r="E123" s="128"/>
      <c r="F123" s="128"/>
      <c r="G123" s="128"/>
      <c r="H123" s="168"/>
      <c r="I123" s="373"/>
      <c r="K123" s="105" t="s">
        <v>179</v>
      </c>
    </row>
    <row r="124" spans="1:12" s="9" customFormat="1" ht="30" customHeight="1">
      <c r="A124" s="73" t="s">
        <v>41</v>
      </c>
      <c r="B124" s="243">
        <f>B123*460/1000</f>
        <v>12.88</v>
      </c>
      <c r="C124" s="243">
        <f>C123*460/1000</f>
        <v>12.88</v>
      </c>
      <c r="D124" s="194"/>
      <c r="E124" s="56"/>
      <c r="F124" s="56"/>
      <c r="G124" s="56"/>
      <c r="H124" s="55"/>
      <c r="I124" s="373"/>
      <c r="K124" s="105" t="s">
        <v>32</v>
      </c>
      <c r="L124" s="129">
        <f>B134</f>
        <v>2</v>
      </c>
    </row>
    <row r="125" spans="1:12" s="9" customFormat="1" ht="30" customHeight="1">
      <c r="A125" s="73" t="s">
        <v>42</v>
      </c>
      <c r="B125" s="328">
        <f>B123*120/1000</f>
        <v>3.36</v>
      </c>
      <c r="C125" s="328">
        <f>C123*120/1000</f>
        <v>3.36</v>
      </c>
      <c r="D125" s="194"/>
      <c r="E125" s="56"/>
      <c r="F125" s="56"/>
      <c r="G125" s="56"/>
      <c r="H125" s="55"/>
      <c r="I125" s="373"/>
      <c r="K125" s="105" t="s">
        <v>180</v>
      </c>
      <c r="L125" s="81">
        <f>C155</f>
        <v>17</v>
      </c>
    </row>
    <row r="126" spans="1:12" s="9" customFormat="1" ht="30" customHeight="1">
      <c r="A126" s="230" t="s">
        <v>156</v>
      </c>
      <c r="B126" s="231">
        <f>B123-B124</f>
        <v>15.12</v>
      </c>
      <c r="C126" s="231">
        <f>C123-C124</f>
        <v>15.12</v>
      </c>
      <c r="D126" s="232"/>
      <c r="E126" s="233"/>
      <c r="F126" s="233"/>
      <c r="G126" s="233"/>
      <c r="H126" s="234"/>
      <c r="I126" s="377"/>
      <c r="K126" s="347" t="s">
        <v>182</v>
      </c>
      <c r="L126" s="81"/>
    </row>
    <row r="127" spans="1:12" s="9" customFormat="1" ht="30" customHeight="1">
      <c r="A127" s="230" t="s">
        <v>157</v>
      </c>
      <c r="B127" s="235">
        <f>B123-B125</f>
        <v>24.64</v>
      </c>
      <c r="C127" s="235">
        <f>C123-C125</f>
        <v>24.64</v>
      </c>
      <c r="D127" s="232"/>
      <c r="E127" s="233"/>
      <c r="F127" s="233"/>
      <c r="G127" s="233"/>
      <c r="H127" s="234"/>
      <c r="I127" s="377"/>
      <c r="K127" s="105" t="s">
        <v>181</v>
      </c>
      <c r="L127" s="81">
        <f>C175</f>
        <v>75</v>
      </c>
    </row>
    <row r="128" spans="1:13" s="80" customFormat="1" ht="30" customHeight="1">
      <c r="A128" s="113" t="s">
        <v>19</v>
      </c>
      <c r="B128" s="168">
        <v>6</v>
      </c>
      <c r="C128" s="168">
        <v>6</v>
      </c>
      <c r="D128" s="111"/>
      <c r="E128" s="128"/>
      <c r="F128" s="128"/>
      <c r="G128" s="128"/>
      <c r="H128" s="168"/>
      <c r="I128" s="373"/>
      <c r="J128" s="9"/>
      <c r="K128" s="347" t="s">
        <v>183</v>
      </c>
      <c r="L128" s="18">
        <f>C109</f>
        <v>125</v>
      </c>
      <c r="M128" s="9"/>
    </row>
    <row r="129" spans="1:12" s="80" customFormat="1" ht="30" customHeight="1">
      <c r="A129" s="502" t="s">
        <v>408</v>
      </c>
      <c r="B129" s="502"/>
      <c r="C129" s="502"/>
      <c r="D129" s="54">
        <v>70</v>
      </c>
      <c r="E129" s="56">
        <v>0.7</v>
      </c>
      <c r="F129" s="56">
        <v>0.2</v>
      </c>
      <c r="G129" s="56">
        <v>2.8</v>
      </c>
      <c r="H129" s="169">
        <f>E129*4+F129*9+G129*4</f>
        <v>15.799999999999999</v>
      </c>
      <c r="I129" s="261" t="s">
        <v>239</v>
      </c>
      <c r="J129" s="9"/>
      <c r="K129" s="352" t="s">
        <v>184</v>
      </c>
      <c r="L129" s="129">
        <f>C123</f>
        <v>28</v>
      </c>
    </row>
    <row r="130" spans="1:12" s="80" customFormat="1" ht="30" customHeight="1">
      <c r="A130" s="119" t="s">
        <v>102</v>
      </c>
      <c r="B130" s="45">
        <f>C130*1.02</f>
        <v>71.4</v>
      </c>
      <c r="C130" s="75">
        <v>70</v>
      </c>
      <c r="D130" s="180"/>
      <c r="E130" s="54"/>
      <c r="F130" s="54"/>
      <c r="G130" s="54"/>
      <c r="H130" s="54"/>
      <c r="I130" s="437"/>
      <c r="J130" s="9"/>
      <c r="K130" s="352" t="s">
        <v>185</v>
      </c>
      <c r="L130" s="9"/>
    </row>
    <row r="131" spans="1:11" s="9" customFormat="1" ht="30" customHeight="1">
      <c r="A131" s="67" t="s">
        <v>103</v>
      </c>
      <c r="B131" s="45">
        <f>C131*1.18</f>
        <v>82.6</v>
      </c>
      <c r="C131" s="75">
        <v>70</v>
      </c>
      <c r="D131" s="180"/>
      <c r="E131" s="54"/>
      <c r="F131" s="54"/>
      <c r="G131" s="54"/>
      <c r="H131" s="54"/>
      <c r="I131" s="380"/>
      <c r="K131" s="347" t="s">
        <v>186</v>
      </c>
    </row>
    <row r="132" spans="1:12" s="9" customFormat="1" ht="30" customHeight="1">
      <c r="A132" s="67" t="s">
        <v>117</v>
      </c>
      <c r="B132" s="45">
        <f>C132*1.82</f>
        <v>127.4</v>
      </c>
      <c r="C132" s="75">
        <v>70</v>
      </c>
      <c r="D132" s="180"/>
      <c r="E132" s="54"/>
      <c r="F132" s="54"/>
      <c r="G132" s="54"/>
      <c r="H132" s="54"/>
      <c r="I132" s="380"/>
      <c r="J132" s="80"/>
      <c r="K132" s="347" t="s">
        <v>187</v>
      </c>
      <c r="L132" s="18">
        <f>B172+C186</f>
        <v>17.5</v>
      </c>
    </row>
    <row r="133" spans="1:12" s="9" customFormat="1" ht="30" customHeight="1">
      <c r="A133" s="503" t="s">
        <v>243</v>
      </c>
      <c r="B133" s="503"/>
      <c r="C133" s="503"/>
      <c r="D133" s="55">
        <v>200</v>
      </c>
      <c r="E133" s="56">
        <v>0.2</v>
      </c>
      <c r="F133" s="56">
        <v>0</v>
      </c>
      <c r="G133" s="56">
        <v>11.9</v>
      </c>
      <c r="H133" s="55">
        <v>53</v>
      </c>
      <c r="I133" s="374" t="s">
        <v>242</v>
      </c>
      <c r="K133" s="347" t="s">
        <v>188</v>
      </c>
      <c r="L133" s="18">
        <f>C116</f>
        <v>15</v>
      </c>
    </row>
    <row r="134" spans="1:12" s="126" customFormat="1" ht="30" customHeight="1">
      <c r="A134" s="67" t="s">
        <v>26</v>
      </c>
      <c r="B134" s="44">
        <v>2</v>
      </c>
      <c r="C134" s="44">
        <v>2</v>
      </c>
      <c r="D134" s="330"/>
      <c r="E134" s="203"/>
      <c r="F134" s="203"/>
      <c r="G134" s="203"/>
      <c r="H134" s="204"/>
      <c r="I134" s="374"/>
      <c r="J134" s="9"/>
      <c r="K134" s="352" t="s">
        <v>33</v>
      </c>
      <c r="L134" s="181">
        <f>C115+C193+B171+C128</f>
        <v>21</v>
      </c>
    </row>
    <row r="135" spans="1:13" s="9" customFormat="1" ht="30" customHeight="1">
      <c r="A135" s="67" t="s">
        <v>4</v>
      </c>
      <c r="B135" s="35">
        <v>12</v>
      </c>
      <c r="C135" s="35">
        <v>12</v>
      </c>
      <c r="D135" s="36"/>
      <c r="E135" s="203"/>
      <c r="F135" s="203"/>
      <c r="G135" s="203"/>
      <c r="H135" s="204"/>
      <c r="I135" s="373"/>
      <c r="J135" s="80"/>
      <c r="K135" s="105" t="s">
        <v>34</v>
      </c>
      <c r="L135" s="81">
        <f>C152+C117+C180+C184</f>
        <v>16</v>
      </c>
      <c r="M135" s="80"/>
    </row>
    <row r="136" spans="1:13" s="9" customFormat="1" ht="30" customHeight="1">
      <c r="A136" s="502" t="s">
        <v>232</v>
      </c>
      <c r="B136" s="502"/>
      <c r="C136" s="502"/>
      <c r="D136" s="31">
        <v>150</v>
      </c>
      <c r="E136" s="32">
        <v>0.2</v>
      </c>
      <c r="F136" s="32">
        <v>0</v>
      </c>
      <c r="G136" s="32">
        <v>8.6</v>
      </c>
      <c r="H136" s="201">
        <f>E136*4+F136*9+G136*4</f>
        <v>35.199999999999996</v>
      </c>
      <c r="I136" s="261" t="s">
        <v>233</v>
      </c>
      <c r="J136" s="80"/>
      <c r="K136" s="105" t="s">
        <v>189</v>
      </c>
      <c r="L136" s="81">
        <f>C159+C149+C182</f>
        <v>38.2</v>
      </c>
      <c r="M136" s="80"/>
    </row>
    <row r="137" spans="1:11" s="9" customFormat="1" ht="30" customHeight="1">
      <c r="A137" s="435" t="s">
        <v>20</v>
      </c>
      <c r="B137" s="164">
        <v>20</v>
      </c>
      <c r="C137" s="164">
        <v>20</v>
      </c>
      <c r="D137" s="103">
        <v>20</v>
      </c>
      <c r="E137" s="110">
        <v>0.9</v>
      </c>
      <c r="F137" s="110">
        <v>0.2</v>
      </c>
      <c r="G137" s="110">
        <v>8.7</v>
      </c>
      <c r="H137" s="141">
        <v>40.5</v>
      </c>
      <c r="I137" s="374"/>
      <c r="J137" s="80"/>
      <c r="K137" s="105" t="s">
        <v>369</v>
      </c>
    </row>
    <row r="138" spans="1:13" s="80" customFormat="1" ht="30" customHeight="1">
      <c r="A138" s="503" t="s">
        <v>80</v>
      </c>
      <c r="B138" s="503"/>
      <c r="C138" s="503"/>
      <c r="D138" s="54">
        <v>20</v>
      </c>
      <c r="E138" s="56"/>
      <c r="F138" s="56"/>
      <c r="G138" s="56"/>
      <c r="H138" s="56"/>
      <c r="I138" s="374"/>
      <c r="K138" s="105" t="s">
        <v>190</v>
      </c>
      <c r="L138" s="9">
        <v>1.2</v>
      </c>
      <c r="M138" s="9"/>
    </row>
    <row r="139" spans="1:12" s="9" customFormat="1" ht="30" customHeight="1">
      <c r="A139" s="434" t="s">
        <v>27</v>
      </c>
      <c r="B139" s="111">
        <v>20</v>
      </c>
      <c r="C139" s="111">
        <v>20</v>
      </c>
      <c r="D139" s="54">
        <v>20</v>
      </c>
      <c r="E139" s="56">
        <v>0.7</v>
      </c>
      <c r="F139" s="56">
        <v>0.2</v>
      </c>
      <c r="G139" s="56">
        <v>9.4</v>
      </c>
      <c r="H139" s="55">
        <v>41</v>
      </c>
      <c r="I139" s="374"/>
      <c r="J139" s="80"/>
      <c r="K139" s="347" t="s">
        <v>191</v>
      </c>
      <c r="L139" s="9">
        <v>3</v>
      </c>
    </row>
    <row r="140" spans="1:10" s="9" customFormat="1" ht="30" customHeight="1">
      <c r="A140" s="516" t="s">
        <v>63</v>
      </c>
      <c r="B140" s="516"/>
      <c r="C140" s="516"/>
      <c r="D140" s="167">
        <f>D141+270+150+D190+D194</f>
        <v>900</v>
      </c>
      <c r="E140" s="53">
        <f>E141+E153+E174+E190+E194+E200+E202</f>
        <v>27.65666666666667</v>
      </c>
      <c r="F140" s="53">
        <f>F141+F153+F174+F190+F194+F200+F202</f>
        <v>30.720000000000002</v>
      </c>
      <c r="G140" s="53">
        <f>G141+G153+G174+G190+G194+G200+G202</f>
        <v>134.68666666666667</v>
      </c>
      <c r="H140" s="138">
        <f>H141+H153+H174+H190+H194+H200+H202</f>
        <v>924.1866666666667</v>
      </c>
      <c r="I140" s="379"/>
      <c r="J140" s="80"/>
    </row>
    <row r="141" spans="1:9" s="9" customFormat="1" ht="30" customHeight="1">
      <c r="A141" s="502" t="s">
        <v>289</v>
      </c>
      <c r="B141" s="502"/>
      <c r="C141" s="502"/>
      <c r="D141" s="54">
        <v>100</v>
      </c>
      <c r="E141" s="56">
        <v>3.1</v>
      </c>
      <c r="F141" s="56">
        <v>6.5</v>
      </c>
      <c r="G141" s="56">
        <v>9.8</v>
      </c>
      <c r="H141" s="169">
        <f>E141*4+F141*9+G141*4</f>
        <v>110.10000000000001</v>
      </c>
      <c r="I141" s="259" t="s">
        <v>290</v>
      </c>
    </row>
    <row r="142" spans="1:9" s="9" customFormat="1" ht="30" customHeight="1">
      <c r="A142" s="64" t="s">
        <v>12</v>
      </c>
      <c r="B142" s="43">
        <f>C142*1.33</f>
        <v>71.82000000000001</v>
      </c>
      <c r="C142" s="44">
        <v>54</v>
      </c>
      <c r="D142" s="24"/>
      <c r="E142" s="56"/>
      <c r="F142" s="56"/>
      <c r="G142" s="56"/>
      <c r="H142" s="55"/>
      <c r="I142" s="374"/>
    </row>
    <row r="143" spans="1:9" s="9" customFormat="1" ht="30" customHeight="1">
      <c r="A143" s="64" t="s">
        <v>13</v>
      </c>
      <c r="B143" s="43">
        <f>C143*1.43</f>
        <v>77.22</v>
      </c>
      <c r="C143" s="44">
        <v>54</v>
      </c>
      <c r="D143" s="24"/>
      <c r="E143" s="56"/>
      <c r="F143" s="56"/>
      <c r="G143" s="56"/>
      <c r="H143" s="55"/>
      <c r="I143" s="374"/>
    </row>
    <row r="144" spans="1:9" s="9" customFormat="1" ht="30" customHeight="1">
      <c r="A144" s="67" t="s">
        <v>14</v>
      </c>
      <c r="B144" s="43">
        <f>C144*1.54</f>
        <v>83.16</v>
      </c>
      <c r="C144" s="44">
        <v>54</v>
      </c>
      <c r="D144" s="24"/>
      <c r="E144" s="56"/>
      <c r="F144" s="56"/>
      <c r="G144" s="56"/>
      <c r="H144" s="55"/>
      <c r="I144" s="374"/>
    </row>
    <row r="145" spans="1:10" s="9" customFormat="1" ht="30" customHeight="1">
      <c r="A145" s="67" t="s">
        <v>15</v>
      </c>
      <c r="B145" s="43">
        <f>C145*1.67</f>
        <v>90.17999999999999</v>
      </c>
      <c r="C145" s="44">
        <v>54</v>
      </c>
      <c r="D145" s="24"/>
      <c r="E145" s="56"/>
      <c r="F145" s="56"/>
      <c r="G145" s="56"/>
      <c r="H145" s="55"/>
      <c r="I145" s="374"/>
      <c r="J145" s="80"/>
    </row>
    <row r="146" spans="1:10" s="9" customFormat="1" ht="30" customHeight="1">
      <c r="A146" s="67" t="s">
        <v>291</v>
      </c>
      <c r="B146" s="43"/>
      <c r="C146" s="44">
        <v>50</v>
      </c>
      <c r="D146" s="24"/>
      <c r="E146" s="56"/>
      <c r="F146" s="56"/>
      <c r="G146" s="56"/>
      <c r="H146" s="55"/>
      <c r="I146" s="374"/>
      <c r="J146" s="80"/>
    </row>
    <row r="147" spans="1:9" s="80" customFormat="1" ht="30" customHeight="1">
      <c r="A147" s="64" t="s">
        <v>129</v>
      </c>
      <c r="B147" s="43">
        <f>C147*1.82</f>
        <v>21.84</v>
      </c>
      <c r="C147" s="44">
        <v>12</v>
      </c>
      <c r="D147" s="24"/>
      <c r="E147" s="56"/>
      <c r="F147" s="56"/>
      <c r="G147" s="56"/>
      <c r="H147" s="55"/>
      <c r="I147" s="374"/>
    </row>
    <row r="148" spans="1:9" s="80" customFormat="1" ht="30" customHeight="1">
      <c r="A148" s="71" t="s">
        <v>123</v>
      </c>
      <c r="B148" s="43">
        <f>C148*1.54</f>
        <v>15.4</v>
      </c>
      <c r="C148" s="44">
        <v>10</v>
      </c>
      <c r="D148" s="24"/>
      <c r="E148" s="56"/>
      <c r="F148" s="56"/>
      <c r="G148" s="56"/>
      <c r="H148" s="55"/>
      <c r="I148" s="374"/>
    </row>
    <row r="149" spans="1:9" s="80" customFormat="1" ht="30" customHeight="1">
      <c r="A149" s="67" t="s">
        <v>88</v>
      </c>
      <c r="B149" s="43">
        <v>20</v>
      </c>
      <c r="C149" s="44">
        <v>20</v>
      </c>
      <c r="D149" s="24"/>
      <c r="E149" s="56"/>
      <c r="F149" s="56"/>
      <c r="G149" s="56"/>
      <c r="H149" s="55"/>
      <c r="I149" s="374"/>
    </row>
    <row r="150" spans="1:10" s="7" customFormat="1" ht="30" customHeight="1">
      <c r="A150" s="119" t="s">
        <v>18</v>
      </c>
      <c r="B150" s="45">
        <f>C150*1.19</f>
        <v>5.949999999999999</v>
      </c>
      <c r="C150" s="44">
        <v>5</v>
      </c>
      <c r="D150" s="24"/>
      <c r="E150" s="127"/>
      <c r="F150" s="127"/>
      <c r="G150" s="127"/>
      <c r="H150" s="127"/>
      <c r="I150" s="400"/>
      <c r="J150" s="9"/>
    </row>
    <row r="151" spans="1:10" s="9" customFormat="1" ht="30" customHeight="1">
      <c r="A151" s="550" t="s">
        <v>402</v>
      </c>
      <c r="B151" s="550"/>
      <c r="C151" s="550"/>
      <c r="D151" s="24"/>
      <c r="E151" s="110"/>
      <c r="F151" s="110"/>
      <c r="G151" s="56"/>
      <c r="H151" s="56"/>
      <c r="I151" s="259"/>
      <c r="J151" s="80"/>
    </row>
    <row r="152" spans="1:9" s="80" customFormat="1" ht="30" customHeight="1">
      <c r="A152" s="67" t="s">
        <v>11</v>
      </c>
      <c r="B152" s="44">
        <v>5</v>
      </c>
      <c r="C152" s="44">
        <v>5</v>
      </c>
      <c r="D152" s="5"/>
      <c r="E152" s="128"/>
      <c r="F152" s="128"/>
      <c r="G152" s="128"/>
      <c r="H152" s="168"/>
      <c r="I152" s="373"/>
    </row>
    <row r="153" spans="1:10" s="80" customFormat="1" ht="30" customHeight="1">
      <c r="A153" s="507" t="s">
        <v>335</v>
      </c>
      <c r="B153" s="507"/>
      <c r="C153" s="551" t="s">
        <v>139</v>
      </c>
      <c r="D153" s="551"/>
      <c r="E153" s="56">
        <v>4.2</v>
      </c>
      <c r="F153" s="56">
        <v>5.1</v>
      </c>
      <c r="G153" s="56">
        <v>12.7</v>
      </c>
      <c r="H153" s="55">
        <f>G153*4+F153*9+E153*4</f>
        <v>113.49999999999999</v>
      </c>
      <c r="I153" s="374" t="s">
        <v>336</v>
      </c>
      <c r="J153" s="9"/>
    </row>
    <row r="154" spans="1:10" s="80" customFormat="1" ht="30" customHeight="1">
      <c r="A154" s="222" t="s">
        <v>310</v>
      </c>
      <c r="B154" s="220"/>
      <c r="C154" s="142">
        <v>15</v>
      </c>
      <c r="D154" s="142"/>
      <c r="E154" s="56"/>
      <c r="F154" s="54"/>
      <c r="G154" s="56"/>
      <c r="H154" s="55"/>
      <c r="I154" s="396" t="s">
        <v>311</v>
      </c>
      <c r="J154" s="9"/>
    </row>
    <row r="155" spans="1:9" s="9" customFormat="1" ht="30" customHeight="1">
      <c r="A155" s="65" t="s">
        <v>90</v>
      </c>
      <c r="B155" s="33">
        <f>C155*1.36</f>
        <v>23.12</v>
      </c>
      <c r="C155" s="5">
        <v>17</v>
      </c>
      <c r="D155" s="37"/>
      <c r="E155" s="112"/>
      <c r="F155" s="112"/>
      <c r="G155" s="112"/>
      <c r="H155" s="146"/>
      <c r="I155" s="381"/>
    </row>
    <row r="156" spans="1:9" s="9" customFormat="1" ht="30" customHeight="1">
      <c r="A156" s="65" t="s">
        <v>91</v>
      </c>
      <c r="B156" s="33">
        <f>C156*1.18</f>
        <v>20.06</v>
      </c>
      <c r="C156" s="5">
        <v>17</v>
      </c>
      <c r="D156" s="37"/>
      <c r="E156" s="38"/>
      <c r="F156" s="38"/>
      <c r="G156" s="38"/>
      <c r="H156" s="144"/>
      <c r="I156" s="379"/>
    </row>
    <row r="157" spans="1:9" s="9" customFormat="1" ht="30" customHeight="1">
      <c r="A157" s="64" t="s">
        <v>18</v>
      </c>
      <c r="B157" s="45">
        <f>C157*1.19</f>
        <v>1.785</v>
      </c>
      <c r="C157" s="5">
        <v>1.5</v>
      </c>
      <c r="D157" s="37"/>
      <c r="E157" s="38"/>
      <c r="F157" s="38"/>
      <c r="G157" s="38"/>
      <c r="H157" s="144"/>
      <c r="I157" s="379"/>
    </row>
    <row r="158" spans="1:9" s="9" customFormat="1" ht="30" customHeight="1">
      <c r="A158" s="113" t="s">
        <v>69</v>
      </c>
      <c r="B158" s="128">
        <v>1.5</v>
      </c>
      <c r="C158" s="5">
        <v>1.5</v>
      </c>
      <c r="D158" s="37"/>
      <c r="E158" s="38"/>
      <c r="F158" s="38"/>
      <c r="G158" s="38"/>
      <c r="H158" s="144"/>
      <c r="I158" s="379"/>
    </row>
    <row r="159" spans="1:9" s="9" customFormat="1" ht="30" customHeight="1">
      <c r="A159" s="64" t="s">
        <v>88</v>
      </c>
      <c r="B159" s="48">
        <v>1.2</v>
      </c>
      <c r="C159" s="5">
        <v>1.2</v>
      </c>
      <c r="D159" s="44"/>
      <c r="E159" s="128"/>
      <c r="F159" s="128"/>
      <c r="G159" s="132"/>
      <c r="H159" s="145"/>
      <c r="I159" s="360"/>
    </row>
    <row r="160" spans="1:10" s="9" customFormat="1" ht="30" customHeight="1">
      <c r="A160" s="64" t="s">
        <v>17</v>
      </c>
      <c r="B160" s="5">
        <f>C160*1.25</f>
        <v>50</v>
      </c>
      <c r="C160" s="5">
        <v>40</v>
      </c>
      <c r="D160" s="44"/>
      <c r="E160" s="128"/>
      <c r="F160" s="128"/>
      <c r="G160" s="128"/>
      <c r="H160" s="111"/>
      <c r="I160" s="360"/>
      <c r="J160" s="80"/>
    </row>
    <row r="161" spans="1:10" s="9" customFormat="1" ht="30" customHeight="1">
      <c r="A161" s="64" t="s">
        <v>16</v>
      </c>
      <c r="B161" s="43">
        <f>C161*1.33</f>
        <v>53.2</v>
      </c>
      <c r="C161" s="5">
        <v>40</v>
      </c>
      <c r="D161" s="44"/>
      <c r="E161" s="128"/>
      <c r="F161" s="128"/>
      <c r="G161" s="132"/>
      <c r="H161" s="237"/>
      <c r="I161" s="360"/>
      <c r="J161" s="80"/>
    </row>
    <row r="162" spans="1:12" s="126" customFormat="1" ht="30" customHeight="1">
      <c r="A162" s="64" t="s">
        <v>61</v>
      </c>
      <c r="B162" s="5">
        <f>C162*1.25</f>
        <v>25</v>
      </c>
      <c r="C162" s="5">
        <v>20</v>
      </c>
      <c r="D162" s="44"/>
      <c r="E162" s="128"/>
      <c r="F162" s="128"/>
      <c r="G162" s="128"/>
      <c r="H162" s="145"/>
      <c r="I162" s="360"/>
      <c r="J162" s="9"/>
      <c r="K162" s="9"/>
      <c r="L162" s="9"/>
    </row>
    <row r="163" spans="1:9" s="9" customFormat="1" ht="28.5" customHeight="1">
      <c r="A163" s="64" t="s">
        <v>12</v>
      </c>
      <c r="B163" s="43">
        <f>C163*1.33</f>
        <v>26.6</v>
      </c>
      <c r="C163" s="5">
        <v>20</v>
      </c>
      <c r="D163" s="44"/>
      <c r="E163" s="128"/>
      <c r="F163" s="128"/>
      <c r="G163" s="132"/>
      <c r="H163" s="145"/>
      <c r="I163" s="360"/>
    </row>
    <row r="164" spans="1:12" s="155" customFormat="1" ht="28.5" customHeight="1">
      <c r="A164" s="64" t="s">
        <v>13</v>
      </c>
      <c r="B164" s="43">
        <f>C164*1.43</f>
        <v>28.599999999999998</v>
      </c>
      <c r="C164" s="5">
        <v>20</v>
      </c>
      <c r="D164" s="44"/>
      <c r="E164" s="128"/>
      <c r="F164" s="128"/>
      <c r="G164" s="132"/>
      <c r="H164" s="145"/>
      <c r="I164" s="360"/>
      <c r="J164" s="9"/>
      <c r="K164" s="9"/>
      <c r="L164" s="9"/>
    </row>
    <row r="165" spans="1:12" s="80" customFormat="1" ht="28.5" customHeight="1">
      <c r="A165" s="67" t="s">
        <v>14</v>
      </c>
      <c r="B165" s="43">
        <f>C165*1.54</f>
        <v>30.8</v>
      </c>
      <c r="C165" s="5">
        <v>20</v>
      </c>
      <c r="D165" s="44"/>
      <c r="E165" s="128"/>
      <c r="F165" s="128"/>
      <c r="G165" s="132"/>
      <c r="H165" s="145"/>
      <c r="I165" s="360"/>
      <c r="K165" s="9"/>
      <c r="L165" s="9"/>
    </row>
    <row r="166" spans="1:10" s="9" customFormat="1" ht="28.5" customHeight="1">
      <c r="A166" s="67" t="s">
        <v>15</v>
      </c>
      <c r="B166" s="43">
        <f>C166*1.67</f>
        <v>33.4</v>
      </c>
      <c r="C166" s="5">
        <v>20</v>
      </c>
      <c r="D166" s="44"/>
      <c r="E166" s="110"/>
      <c r="F166" s="110"/>
      <c r="G166" s="110"/>
      <c r="H166" s="55"/>
      <c r="I166" s="374"/>
      <c r="J166" s="80"/>
    </row>
    <row r="167" spans="1:12" s="80" customFormat="1" ht="28.5" customHeight="1">
      <c r="A167" s="64" t="s">
        <v>67</v>
      </c>
      <c r="B167" s="5">
        <f>C167*1.25</f>
        <v>12.5</v>
      </c>
      <c r="C167" s="5">
        <v>10</v>
      </c>
      <c r="D167" s="44"/>
      <c r="E167" s="128"/>
      <c r="F167" s="128"/>
      <c r="G167" s="128"/>
      <c r="H167" s="168"/>
      <c r="I167" s="374"/>
      <c r="K167" s="9"/>
      <c r="L167" s="9"/>
    </row>
    <row r="168" spans="1:12" s="80" customFormat="1" ht="28.5" customHeight="1">
      <c r="A168" s="64" t="s">
        <v>16</v>
      </c>
      <c r="B168" s="48">
        <f>C168*1.33</f>
        <v>13.3</v>
      </c>
      <c r="C168" s="5">
        <v>10</v>
      </c>
      <c r="D168" s="44"/>
      <c r="E168" s="128"/>
      <c r="F168" s="128"/>
      <c r="G168" s="128"/>
      <c r="H168" s="168"/>
      <c r="I168" s="374"/>
      <c r="K168" s="9"/>
      <c r="L168" s="9"/>
    </row>
    <row r="169" spans="1:12" s="80" customFormat="1" ht="30" customHeight="1">
      <c r="A169" s="64" t="s">
        <v>18</v>
      </c>
      <c r="B169" s="45">
        <f>C169*1.19</f>
        <v>11.899999999999999</v>
      </c>
      <c r="C169" s="5">
        <v>10</v>
      </c>
      <c r="D169" s="44"/>
      <c r="E169" s="128"/>
      <c r="F169" s="128"/>
      <c r="G169" s="128"/>
      <c r="H169" s="168"/>
      <c r="I169" s="374"/>
      <c r="J169" s="9"/>
      <c r="K169" s="9"/>
      <c r="L169" s="9"/>
    </row>
    <row r="170" spans="1:12" s="80" customFormat="1" ht="30" customHeight="1">
      <c r="A170" s="72" t="s">
        <v>58</v>
      </c>
      <c r="B170" s="43">
        <v>7</v>
      </c>
      <c r="C170" s="5">
        <v>7</v>
      </c>
      <c r="D170" s="44"/>
      <c r="E170" s="128"/>
      <c r="F170" s="128"/>
      <c r="G170" s="128"/>
      <c r="H170" s="168"/>
      <c r="I170" s="374"/>
      <c r="J170" s="155"/>
      <c r="K170" s="9"/>
      <c r="L170" s="9"/>
    </row>
    <row r="171" spans="1:12" s="80" customFormat="1" ht="30" customHeight="1">
      <c r="A171" s="113" t="s">
        <v>19</v>
      </c>
      <c r="B171" s="168">
        <v>5</v>
      </c>
      <c r="C171" s="168">
        <v>5</v>
      </c>
      <c r="D171" s="111"/>
      <c r="E171" s="128"/>
      <c r="F171" s="128"/>
      <c r="G171" s="128"/>
      <c r="H171" s="168"/>
      <c r="I171" s="374"/>
      <c r="J171" s="9"/>
      <c r="K171" s="9"/>
      <c r="L171" s="9"/>
    </row>
    <row r="172" spans="1:12" s="80" customFormat="1" ht="30" customHeight="1">
      <c r="A172" s="64" t="s">
        <v>62</v>
      </c>
      <c r="B172" s="5">
        <v>5</v>
      </c>
      <c r="C172" s="5">
        <v>5</v>
      </c>
      <c r="D172" s="5"/>
      <c r="E172" s="128"/>
      <c r="F172" s="128"/>
      <c r="G172" s="128"/>
      <c r="H172" s="168"/>
      <c r="I172" s="374"/>
      <c r="K172" s="9"/>
      <c r="L172" s="9"/>
    </row>
    <row r="173" spans="1:12" s="80" customFormat="1" ht="30" customHeight="1">
      <c r="A173" s="67" t="s">
        <v>78</v>
      </c>
      <c r="B173" s="48">
        <v>0.2</v>
      </c>
      <c r="C173" s="48">
        <v>0.2</v>
      </c>
      <c r="D173" s="37"/>
      <c r="E173" s="38"/>
      <c r="F173" s="38"/>
      <c r="G173" s="38"/>
      <c r="H173" s="144"/>
      <c r="I173" s="379"/>
      <c r="K173" s="9"/>
      <c r="L173" s="9"/>
    </row>
    <row r="174" spans="1:12" s="80" customFormat="1" ht="30" customHeight="1">
      <c r="A174" s="509" t="s">
        <v>427</v>
      </c>
      <c r="B174" s="509"/>
      <c r="C174" s="509"/>
      <c r="D174" s="22" t="s">
        <v>118</v>
      </c>
      <c r="E174" s="26">
        <v>12.5</v>
      </c>
      <c r="F174" s="26">
        <v>14</v>
      </c>
      <c r="G174" s="26">
        <v>11.7</v>
      </c>
      <c r="H174" s="30">
        <f>G174*4+F174*9+E174*4</f>
        <v>222.8</v>
      </c>
      <c r="I174" s="396" t="s">
        <v>426</v>
      </c>
      <c r="K174" s="9"/>
      <c r="L174" s="9"/>
    </row>
    <row r="175" spans="1:10" s="9" customFormat="1" ht="30" customHeight="1">
      <c r="A175" s="441" t="s">
        <v>95</v>
      </c>
      <c r="B175" s="61">
        <f>C176*1.79</f>
        <v>89.5</v>
      </c>
      <c r="C175" s="168">
        <v>75</v>
      </c>
      <c r="D175" s="43"/>
      <c r="E175" s="498"/>
      <c r="F175" s="498"/>
      <c r="G175" s="498"/>
      <c r="H175" s="499"/>
      <c r="I175" s="433"/>
      <c r="J175" s="80"/>
    </row>
    <row r="176" spans="1:10" s="9" customFormat="1" ht="30" customHeight="1">
      <c r="A176" s="67" t="s">
        <v>530</v>
      </c>
      <c r="B176" s="45"/>
      <c r="C176" s="168">
        <v>50</v>
      </c>
      <c r="D176" s="43"/>
      <c r="E176" s="498"/>
      <c r="F176" s="498"/>
      <c r="G176" s="498"/>
      <c r="H176" s="499"/>
      <c r="I176" s="433"/>
      <c r="J176" s="80"/>
    </row>
    <row r="177" spans="1:10" s="9" customFormat="1" ht="30" customHeight="1">
      <c r="A177" s="113" t="s">
        <v>23</v>
      </c>
      <c r="B177" s="168">
        <v>14</v>
      </c>
      <c r="C177" s="168">
        <v>14</v>
      </c>
      <c r="D177" s="43"/>
      <c r="E177" s="498"/>
      <c r="F177" s="498"/>
      <c r="G177" s="498"/>
      <c r="H177" s="30"/>
      <c r="I177" s="433"/>
      <c r="J177" s="80"/>
    </row>
    <row r="178" spans="1:10" s="9" customFormat="1" ht="28.5" customHeight="1">
      <c r="A178" s="113" t="s">
        <v>428</v>
      </c>
      <c r="B178" s="168"/>
      <c r="C178" s="168">
        <v>39</v>
      </c>
      <c r="D178" s="43"/>
      <c r="E178" s="112"/>
      <c r="F178" s="112"/>
      <c r="G178" s="112"/>
      <c r="H178" s="112"/>
      <c r="I178" s="433"/>
      <c r="J178" s="80"/>
    </row>
    <row r="179" spans="1:10" s="9" customFormat="1" ht="28.5" customHeight="1">
      <c r="A179" s="64" t="s">
        <v>18</v>
      </c>
      <c r="B179" s="45">
        <f>C179*1.19</f>
        <v>30.939999999999998</v>
      </c>
      <c r="C179" s="5">
        <v>26</v>
      </c>
      <c r="D179" s="43"/>
      <c r="E179" s="128"/>
      <c r="F179" s="128"/>
      <c r="G179" s="128"/>
      <c r="H179" s="111"/>
      <c r="I179" s="433"/>
      <c r="J179" s="80"/>
    </row>
    <row r="180" spans="1:12" s="80" customFormat="1" ht="28.5" customHeight="1">
      <c r="A180" s="67" t="s">
        <v>145</v>
      </c>
      <c r="B180" s="5">
        <v>5</v>
      </c>
      <c r="C180" s="5">
        <v>5</v>
      </c>
      <c r="D180" s="43"/>
      <c r="E180" s="128"/>
      <c r="F180" s="128"/>
      <c r="G180" s="128"/>
      <c r="H180" s="111"/>
      <c r="I180" s="433"/>
      <c r="J180" s="9"/>
      <c r="K180" s="9"/>
      <c r="L180" s="9"/>
    </row>
    <row r="181" spans="1:12" s="80" customFormat="1" ht="28.5" customHeight="1">
      <c r="A181" s="113" t="s">
        <v>119</v>
      </c>
      <c r="B181" s="168"/>
      <c r="C181" s="168">
        <v>13</v>
      </c>
      <c r="D181" s="43"/>
      <c r="E181" s="498"/>
      <c r="F181" s="498"/>
      <c r="G181" s="498"/>
      <c r="H181" s="499"/>
      <c r="I181" s="464"/>
      <c r="J181" s="9"/>
      <c r="K181" s="9"/>
      <c r="L181" s="9"/>
    </row>
    <row r="182" spans="1:12" s="80" customFormat="1" ht="28.5" customHeight="1">
      <c r="A182" s="113" t="s">
        <v>88</v>
      </c>
      <c r="B182" s="168">
        <v>17</v>
      </c>
      <c r="C182" s="168">
        <v>17</v>
      </c>
      <c r="D182" s="43"/>
      <c r="E182" s="49"/>
      <c r="F182" s="49"/>
      <c r="G182" s="49"/>
      <c r="H182" s="45"/>
      <c r="I182" s="407"/>
      <c r="J182" s="9"/>
      <c r="K182" s="9"/>
      <c r="L182" s="9"/>
    </row>
    <row r="183" spans="1:12" s="80" customFormat="1" ht="28.5" customHeight="1">
      <c r="A183" s="71" t="s">
        <v>21</v>
      </c>
      <c r="B183" s="115">
        <v>6.5</v>
      </c>
      <c r="C183" s="115">
        <v>6.5</v>
      </c>
      <c r="D183" s="43"/>
      <c r="E183" s="49"/>
      <c r="F183" s="49"/>
      <c r="G183" s="49"/>
      <c r="H183" s="45"/>
      <c r="I183" s="407"/>
      <c r="J183" s="9"/>
      <c r="K183" s="9"/>
      <c r="L183" s="9"/>
    </row>
    <row r="184" spans="1:9" s="9" customFormat="1" ht="28.5" customHeight="1">
      <c r="A184" s="67" t="s">
        <v>449</v>
      </c>
      <c r="B184" s="5">
        <v>2</v>
      </c>
      <c r="C184" s="5">
        <v>2</v>
      </c>
      <c r="D184" s="43"/>
      <c r="E184" s="498"/>
      <c r="F184" s="498"/>
      <c r="G184" s="498"/>
      <c r="H184" s="499"/>
      <c r="I184" s="464"/>
    </row>
    <row r="185" spans="1:9" s="9" customFormat="1" ht="28.5" customHeight="1">
      <c r="A185" s="202" t="s">
        <v>389</v>
      </c>
      <c r="B185" s="76"/>
      <c r="C185" s="180">
        <v>50</v>
      </c>
      <c r="D185" s="24"/>
      <c r="E185" s="26"/>
      <c r="F185" s="26"/>
      <c r="G185" s="26"/>
      <c r="H185" s="30"/>
      <c r="I185" s="259" t="s">
        <v>388</v>
      </c>
    </row>
    <row r="186" spans="1:9" s="9" customFormat="1" ht="30" customHeight="1">
      <c r="A186" s="69" t="s">
        <v>387</v>
      </c>
      <c r="B186" s="336">
        <v>12.5</v>
      </c>
      <c r="C186" s="336">
        <v>12.5</v>
      </c>
      <c r="D186" s="44"/>
      <c r="E186" s="49"/>
      <c r="F186" s="49"/>
      <c r="G186" s="49"/>
      <c r="H186" s="45"/>
      <c r="I186" s="408"/>
    </row>
    <row r="187" spans="1:12" s="80" customFormat="1" ht="30" customHeight="1">
      <c r="A187" s="67" t="s">
        <v>21</v>
      </c>
      <c r="B187" s="43">
        <v>3</v>
      </c>
      <c r="C187" s="43">
        <v>3</v>
      </c>
      <c r="D187" s="48"/>
      <c r="E187" s="128"/>
      <c r="F187" s="128"/>
      <c r="G187" s="128"/>
      <c r="H187" s="128"/>
      <c r="I187" s="373"/>
      <c r="J187" s="126"/>
      <c r="K187" s="9"/>
      <c r="L187" s="9"/>
    </row>
    <row r="188" spans="1:12" s="80" customFormat="1" ht="30" customHeight="1">
      <c r="A188" s="69" t="s">
        <v>69</v>
      </c>
      <c r="B188" s="336">
        <v>37.5</v>
      </c>
      <c r="C188" s="336">
        <v>37.5</v>
      </c>
      <c r="D188" s="44"/>
      <c r="E188" s="49"/>
      <c r="F188" s="49"/>
      <c r="G188" s="49"/>
      <c r="H188" s="45"/>
      <c r="I188" s="407"/>
      <c r="J188" s="9"/>
      <c r="K188" s="9"/>
      <c r="L188" s="9"/>
    </row>
    <row r="189" spans="1:12" s="80" customFormat="1" ht="30" customHeight="1">
      <c r="A189" s="69" t="s">
        <v>58</v>
      </c>
      <c r="B189" s="115">
        <v>5</v>
      </c>
      <c r="C189" s="115">
        <v>5</v>
      </c>
      <c r="D189" s="44"/>
      <c r="E189" s="49"/>
      <c r="F189" s="49"/>
      <c r="G189" s="49"/>
      <c r="H189" s="45"/>
      <c r="I189" s="407"/>
      <c r="K189" s="9"/>
      <c r="L189" s="9"/>
    </row>
    <row r="190" spans="1:12" s="80" customFormat="1" ht="28.5" customHeight="1">
      <c r="A190" s="503" t="s">
        <v>312</v>
      </c>
      <c r="B190" s="503"/>
      <c r="C190" s="503"/>
      <c r="D190" s="22">
        <v>180</v>
      </c>
      <c r="E190" s="56">
        <v>4.44</v>
      </c>
      <c r="F190" s="56">
        <v>4.32</v>
      </c>
      <c r="G190" s="56">
        <v>40.919999999999995</v>
      </c>
      <c r="H190" s="55">
        <v>220.32000000000002</v>
      </c>
      <c r="I190" s="374" t="s">
        <v>313</v>
      </c>
      <c r="K190" s="9"/>
      <c r="L190" s="9"/>
    </row>
    <row r="191" spans="1:12" s="80" customFormat="1" ht="28.5" customHeight="1">
      <c r="A191" s="67" t="s">
        <v>23</v>
      </c>
      <c r="B191" s="5">
        <v>65</v>
      </c>
      <c r="C191" s="5">
        <v>65</v>
      </c>
      <c r="D191" s="44"/>
      <c r="E191" s="128"/>
      <c r="F191" s="128"/>
      <c r="G191" s="128"/>
      <c r="H191" s="168"/>
      <c r="I191" s="373"/>
      <c r="J191" s="9"/>
      <c r="K191" s="9"/>
      <c r="L191" s="9"/>
    </row>
    <row r="192" spans="1:12" s="80" customFormat="1" ht="28.5" customHeight="1">
      <c r="A192" s="67" t="s">
        <v>69</v>
      </c>
      <c r="B192" s="5">
        <f>B191*6</f>
        <v>390</v>
      </c>
      <c r="C192" s="5">
        <f>C191*6</f>
        <v>390</v>
      </c>
      <c r="D192" s="44"/>
      <c r="E192" s="128"/>
      <c r="F192" s="128"/>
      <c r="G192" s="128"/>
      <c r="H192" s="168"/>
      <c r="I192" s="373"/>
      <c r="J192" s="9"/>
      <c r="K192" s="9"/>
      <c r="L192" s="9"/>
    </row>
    <row r="193" spans="1:12" s="126" customFormat="1" ht="28.5" customHeight="1">
      <c r="A193" s="113" t="s">
        <v>19</v>
      </c>
      <c r="B193" s="111">
        <v>5</v>
      </c>
      <c r="C193" s="111">
        <v>5</v>
      </c>
      <c r="D193" s="111"/>
      <c r="E193" s="128"/>
      <c r="F193" s="128"/>
      <c r="G193" s="128"/>
      <c r="H193" s="168"/>
      <c r="I193" s="374"/>
      <c r="J193" s="80"/>
      <c r="K193" s="9"/>
      <c r="L193" s="9"/>
    </row>
    <row r="194" spans="1:10" s="9" customFormat="1" ht="30" customHeight="1">
      <c r="A194" s="242" t="s">
        <v>523</v>
      </c>
      <c r="B194" s="54">
        <v>200</v>
      </c>
      <c r="C194" s="54">
        <v>200</v>
      </c>
      <c r="D194" s="54">
        <v>200</v>
      </c>
      <c r="E194" s="56">
        <v>0.5</v>
      </c>
      <c r="F194" s="56">
        <v>0.1</v>
      </c>
      <c r="G194" s="56">
        <v>28</v>
      </c>
      <c r="H194" s="55">
        <f>G194*4+F194*9+E194*4</f>
        <v>114.9</v>
      </c>
      <c r="I194" s="261" t="s">
        <v>237</v>
      </c>
      <c r="J194" s="80"/>
    </row>
    <row r="195" spans="1:10" s="9" customFormat="1" ht="30" customHeight="1">
      <c r="A195" s="506" t="s">
        <v>76</v>
      </c>
      <c r="B195" s="506"/>
      <c r="C195" s="506"/>
      <c r="D195" s="506"/>
      <c r="E195" s="506"/>
      <c r="F195" s="506"/>
      <c r="G195" s="506"/>
      <c r="H195" s="506"/>
      <c r="I195" s="506"/>
      <c r="J195" s="80"/>
    </row>
    <row r="196" spans="1:10" s="9" customFormat="1" ht="28.5" customHeight="1">
      <c r="A196" s="519" t="s">
        <v>267</v>
      </c>
      <c r="B196" s="519"/>
      <c r="C196" s="519"/>
      <c r="D196" s="98">
        <v>200</v>
      </c>
      <c r="E196" s="97">
        <v>0.3</v>
      </c>
      <c r="F196" s="97">
        <v>0.3</v>
      </c>
      <c r="G196" s="97">
        <v>20.4</v>
      </c>
      <c r="H196" s="55">
        <f>G196*4+F196*9+E196*4</f>
        <v>85.5</v>
      </c>
      <c r="I196" s="261" t="s">
        <v>268</v>
      </c>
      <c r="J196" s="80"/>
    </row>
    <row r="197" spans="1:10" s="9" customFormat="1" ht="28.5" customHeight="1">
      <c r="A197" s="71" t="s">
        <v>165</v>
      </c>
      <c r="B197" s="63">
        <f>C197*1.14</f>
        <v>56.99999999999999</v>
      </c>
      <c r="C197" s="63">
        <v>50</v>
      </c>
      <c r="D197" s="102"/>
      <c r="E197" s="136"/>
      <c r="F197" s="136"/>
      <c r="G197" s="136"/>
      <c r="H197" s="147"/>
      <c r="I197" s="384"/>
      <c r="J197" s="80"/>
    </row>
    <row r="198" spans="1:10" s="9" customFormat="1" ht="28.5" customHeight="1">
      <c r="A198" s="100" t="s">
        <v>147</v>
      </c>
      <c r="B198" s="63">
        <f>C198*1.5</f>
        <v>10.5</v>
      </c>
      <c r="C198" s="63">
        <v>7</v>
      </c>
      <c r="D198" s="102"/>
      <c r="E198" s="136"/>
      <c r="F198" s="136"/>
      <c r="G198" s="136"/>
      <c r="H198" s="147"/>
      <c r="I198" s="384"/>
      <c r="J198" s="80"/>
    </row>
    <row r="199" spans="1:12" s="80" customFormat="1" ht="28.5" customHeight="1">
      <c r="A199" s="67" t="s">
        <v>4</v>
      </c>
      <c r="B199" s="63">
        <v>15</v>
      </c>
      <c r="C199" s="63">
        <v>15</v>
      </c>
      <c r="D199" s="102"/>
      <c r="E199" s="136"/>
      <c r="F199" s="136"/>
      <c r="G199" s="136"/>
      <c r="H199" s="147"/>
      <c r="I199" s="384"/>
      <c r="J199" s="9"/>
      <c r="K199" s="9"/>
      <c r="L199" s="9"/>
    </row>
    <row r="200" spans="1:9" s="9" customFormat="1" ht="27.75" customHeight="1">
      <c r="A200" s="435" t="s">
        <v>20</v>
      </c>
      <c r="B200" s="164">
        <v>40</v>
      </c>
      <c r="C200" s="164">
        <v>40</v>
      </c>
      <c r="D200" s="103">
        <v>40</v>
      </c>
      <c r="E200" s="110">
        <v>1.8666666666666667</v>
      </c>
      <c r="F200" s="110">
        <v>0.4</v>
      </c>
      <c r="G200" s="110">
        <v>17.466666666666665</v>
      </c>
      <c r="H200" s="141">
        <v>81.06666666666666</v>
      </c>
      <c r="I200" s="374"/>
    </row>
    <row r="201" spans="1:9" s="9" customFormat="1" ht="27.75" customHeight="1">
      <c r="A201" s="503" t="s">
        <v>80</v>
      </c>
      <c r="B201" s="503"/>
      <c r="C201" s="503"/>
      <c r="D201" s="103">
        <v>40</v>
      </c>
      <c r="E201" s="128"/>
      <c r="F201" s="128"/>
      <c r="G201" s="128"/>
      <c r="H201" s="128"/>
      <c r="I201" s="373"/>
    </row>
    <row r="202" spans="1:9" s="9" customFormat="1" ht="27.75" customHeight="1">
      <c r="A202" s="434" t="s">
        <v>27</v>
      </c>
      <c r="B202" s="111">
        <v>30</v>
      </c>
      <c r="C202" s="111">
        <v>30</v>
      </c>
      <c r="D202" s="54">
        <v>30</v>
      </c>
      <c r="E202" s="56">
        <v>1.05</v>
      </c>
      <c r="F202" s="56">
        <v>0.3</v>
      </c>
      <c r="G202" s="56">
        <v>14.1</v>
      </c>
      <c r="H202" s="55">
        <v>61.5</v>
      </c>
      <c r="I202" s="374"/>
    </row>
    <row r="203" spans="1:9" s="9" customFormat="1" ht="28.5" customHeight="1">
      <c r="A203" s="544" t="s">
        <v>24</v>
      </c>
      <c r="B203" s="544"/>
      <c r="C203" s="544"/>
      <c r="D203" s="544"/>
      <c r="E203" s="138">
        <f>+E140+E107</f>
        <v>53.55666666666667</v>
      </c>
      <c r="F203" s="138">
        <f>+F140+F107</f>
        <v>52.72</v>
      </c>
      <c r="G203" s="138">
        <f>+G140+G107</f>
        <v>211.7866666666667</v>
      </c>
      <c r="H203" s="138">
        <f>+H140+H107</f>
        <v>1537.8866666666668</v>
      </c>
      <c r="I203" s="385"/>
    </row>
    <row r="204" spans="1:10" s="9" customFormat="1" ht="28.5" customHeight="1">
      <c r="A204" s="510" t="s">
        <v>45</v>
      </c>
      <c r="B204" s="510"/>
      <c r="C204" s="510"/>
      <c r="D204" s="510"/>
      <c r="E204" s="510"/>
      <c r="F204" s="510"/>
      <c r="G204" s="510"/>
      <c r="H204" s="510"/>
      <c r="I204" s="510"/>
      <c r="J204" s="80"/>
    </row>
    <row r="205" spans="1:12" s="80" customFormat="1" ht="28.5" customHeight="1">
      <c r="A205" s="513" t="s">
        <v>0</v>
      </c>
      <c r="B205" s="512" t="s">
        <v>6</v>
      </c>
      <c r="C205" s="512" t="s">
        <v>7</v>
      </c>
      <c r="D205" s="513" t="s">
        <v>5</v>
      </c>
      <c r="E205" s="513"/>
      <c r="F205" s="513"/>
      <c r="G205" s="513"/>
      <c r="H205" s="513"/>
      <c r="I205" s="513"/>
      <c r="K205" s="9"/>
      <c r="L205" s="9"/>
    </row>
    <row r="206" spans="1:12" s="80" customFormat="1" ht="28.5" customHeight="1">
      <c r="A206" s="513"/>
      <c r="B206" s="512"/>
      <c r="C206" s="512"/>
      <c r="D206" s="419" t="s">
        <v>8</v>
      </c>
      <c r="E206" s="418" t="s">
        <v>1</v>
      </c>
      <c r="F206" s="418" t="s">
        <v>2</v>
      </c>
      <c r="G206" s="418" t="s">
        <v>9</v>
      </c>
      <c r="H206" s="417" t="s">
        <v>3</v>
      </c>
      <c r="I206" s="420" t="s">
        <v>211</v>
      </c>
      <c r="J206" s="9"/>
      <c r="K206" s="9"/>
      <c r="L206" s="9"/>
    </row>
    <row r="207" spans="1:12" s="80" customFormat="1" ht="28.5" customHeight="1">
      <c r="A207" s="516" t="s">
        <v>112</v>
      </c>
      <c r="B207" s="516"/>
      <c r="C207" s="516"/>
      <c r="D207" s="167">
        <f>D220+40+207+D238</f>
        <v>597</v>
      </c>
      <c r="E207" s="122">
        <f>E220+E231+E234++E238</f>
        <v>28.9</v>
      </c>
      <c r="F207" s="122">
        <f>F220+F231+F234++F238</f>
        <v>29.5</v>
      </c>
      <c r="G207" s="122">
        <f>G220+G231+G234++G238</f>
        <v>57.800000000000004</v>
      </c>
      <c r="H207" s="122">
        <f>H220+H231+H234++H238</f>
        <v>612.3000000000001</v>
      </c>
      <c r="I207" s="381"/>
      <c r="J207" s="9"/>
      <c r="K207" s="9"/>
      <c r="L207" s="9"/>
    </row>
    <row r="208" spans="1:11" s="9" customFormat="1" ht="28.5" customHeight="1">
      <c r="A208" s="502" t="s">
        <v>516</v>
      </c>
      <c r="B208" s="502"/>
      <c r="C208" s="502"/>
      <c r="D208" s="54">
        <v>200</v>
      </c>
      <c r="E208" s="56">
        <v>25.7</v>
      </c>
      <c r="F208" s="56">
        <v>23.4</v>
      </c>
      <c r="G208" s="56">
        <v>25.4</v>
      </c>
      <c r="H208" s="55">
        <f>E208*4+F208*9+G208*4</f>
        <v>415</v>
      </c>
      <c r="I208" s="259" t="s">
        <v>429</v>
      </c>
      <c r="J208" s="80"/>
      <c r="K208" s="1" t="s">
        <v>45</v>
      </c>
    </row>
    <row r="209" spans="1:12" s="9" customFormat="1" ht="28.5" customHeight="1">
      <c r="A209" s="119" t="s">
        <v>25</v>
      </c>
      <c r="B209" s="168">
        <v>168</v>
      </c>
      <c r="C209" s="168">
        <v>165</v>
      </c>
      <c r="D209" s="111"/>
      <c r="E209" s="111"/>
      <c r="F209" s="111"/>
      <c r="G209" s="111"/>
      <c r="H209" s="111"/>
      <c r="I209" s="442"/>
      <c r="J209" s="80"/>
      <c r="K209" s="347" t="s">
        <v>176</v>
      </c>
      <c r="L209" s="9">
        <f>+D295</f>
        <v>70</v>
      </c>
    </row>
    <row r="210" spans="1:12" s="80" customFormat="1" ht="28.5" customHeight="1">
      <c r="A210" s="119" t="s">
        <v>430</v>
      </c>
      <c r="B210" s="168">
        <v>22</v>
      </c>
      <c r="C210" s="168">
        <v>22</v>
      </c>
      <c r="D210" s="111"/>
      <c r="E210" s="111"/>
      <c r="F210" s="56"/>
      <c r="G210" s="56"/>
      <c r="H210" s="55"/>
      <c r="I210" s="259"/>
      <c r="K210" s="347" t="s">
        <v>136</v>
      </c>
      <c r="L210" s="18">
        <f>B232++D293++B226</f>
        <v>97</v>
      </c>
    </row>
    <row r="211" spans="1:12" s="80" customFormat="1" ht="28.5" customHeight="1">
      <c r="A211" s="119" t="s">
        <v>431</v>
      </c>
      <c r="B211" s="168">
        <v>8</v>
      </c>
      <c r="C211" s="168">
        <v>8</v>
      </c>
      <c r="D211" s="111"/>
      <c r="E211" s="111"/>
      <c r="F211" s="128"/>
      <c r="G211" s="128"/>
      <c r="H211" s="128"/>
      <c r="I211" s="443"/>
      <c r="K211" s="105" t="s">
        <v>162</v>
      </c>
      <c r="L211" s="18"/>
    </row>
    <row r="212" spans="1:12" s="9" customFormat="1" ht="28.5" customHeight="1">
      <c r="A212" s="119" t="s">
        <v>4</v>
      </c>
      <c r="B212" s="168">
        <v>8</v>
      </c>
      <c r="C212" s="168">
        <v>8</v>
      </c>
      <c r="D212" s="111"/>
      <c r="E212" s="111"/>
      <c r="F212" s="128"/>
      <c r="G212" s="128"/>
      <c r="H212" s="168"/>
      <c r="I212" s="443"/>
      <c r="J212" s="80"/>
      <c r="K212" s="347" t="s">
        <v>72</v>
      </c>
      <c r="L212" s="18">
        <f>B222</f>
        <v>12.363636363636363</v>
      </c>
    </row>
    <row r="213" spans="1:12" s="9" customFormat="1" ht="28.5" customHeight="1">
      <c r="A213" s="119" t="s">
        <v>146</v>
      </c>
      <c r="B213" s="224">
        <v>0.01</v>
      </c>
      <c r="C213" s="224">
        <v>0.01</v>
      </c>
      <c r="D213" s="111"/>
      <c r="E213" s="111"/>
      <c r="F213" s="128"/>
      <c r="G213" s="128"/>
      <c r="H213" s="168"/>
      <c r="I213" s="443"/>
      <c r="J213" s="80"/>
      <c r="K213" s="347" t="s">
        <v>177</v>
      </c>
      <c r="L213" s="18"/>
    </row>
    <row r="214" spans="1:12" s="9" customFormat="1" ht="28.5" customHeight="1">
      <c r="A214" s="119" t="s">
        <v>432</v>
      </c>
      <c r="B214" s="168">
        <v>11.5</v>
      </c>
      <c r="C214" s="168">
        <v>11.5</v>
      </c>
      <c r="D214" s="111"/>
      <c r="E214" s="111"/>
      <c r="F214" s="128"/>
      <c r="G214" s="128"/>
      <c r="H214" s="168"/>
      <c r="I214" s="443"/>
      <c r="J214" s="80"/>
      <c r="K214" s="105" t="s">
        <v>28</v>
      </c>
      <c r="L214" s="18">
        <f>C264++C250</f>
        <v>180</v>
      </c>
    </row>
    <row r="215" spans="1:12" s="9" customFormat="1" ht="28.5" customHeight="1">
      <c r="A215" s="119" t="s">
        <v>62</v>
      </c>
      <c r="B215" s="168">
        <v>8</v>
      </c>
      <c r="C215" s="168">
        <v>8</v>
      </c>
      <c r="D215" s="111"/>
      <c r="E215" s="111"/>
      <c r="F215" s="128"/>
      <c r="G215" s="128"/>
      <c r="H215" s="168"/>
      <c r="I215" s="443"/>
      <c r="K215" s="347" t="s">
        <v>353</v>
      </c>
      <c r="L215" s="18">
        <f>+C268+C270+C271+C254++C242</f>
        <v>178</v>
      </c>
    </row>
    <row r="216" spans="1:12" s="80" customFormat="1" ht="28.5" customHeight="1">
      <c r="A216" s="119" t="s">
        <v>104</v>
      </c>
      <c r="B216" s="168">
        <v>5</v>
      </c>
      <c r="C216" s="168">
        <v>5</v>
      </c>
      <c r="D216" s="111"/>
      <c r="E216" s="111"/>
      <c r="F216" s="128"/>
      <c r="G216" s="128"/>
      <c r="H216" s="111"/>
      <c r="I216" s="444"/>
      <c r="J216" s="155"/>
      <c r="K216" s="105" t="s">
        <v>29</v>
      </c>
      <c r="L216" s="9">
        <f>C289+C237+D238</f>
        <v>181</v>
      </c>
    </row>
    <row r="217" spans="1:12" s="80" customFormat="1" ht="28.5" customHeight="1">
      <c r="A217" s="119" t="s">
        <v>433</v>
      </c>
      <c r="B217" s="128"/>
      <c r="C217" s="168">
        <v>180</v>
      </c>
      <c r="D217" s="111"/>
      <c r="E217" s="111"/>
      <c r="F217" s="128"/>
      <c r="G217" s="128"/>
      <c r="H217" s="168"/>
      <c r="I217" s="443"/>
      <c r="K217" s="105" t="s">
        <v>178</v>
      </c>
      <c r="L217" s="9"/>
    </row>
    <row r="218" spans="1:12" s="9" customFormat="1" ht="28.5" customHeight="1">
      <c r="A218" s="119" t="s">
        <v>434</v>
      </c>
      <c r="B218" s="111">
        <v>20.2</v>
      </c>
      <c r="C218" s="111">
        <v>20</v>
      </c>
      <c r="D218" s="111"/>
      <c r="E218" s="128"/>
      <c r="F218" s="128"/>
      <c r="G218" s="128"/>
      <c r="H218" s="128"/>
      <c r="I218" s="442"/>
      <c r="K218" s="347" t="s">
        <v>354</v>
      </c>
      <c r="L218" s="181">
        <f>B224+B236+B291</f>
        <v>40</v>
      </c>
    </row>
    <row r="219" spans="1:11" s="9" customFormat="1" ht="28.5" customHeight="1">
      <c r="A219" s="506" t="s">
        <v>76</v>
      </c>
      <c r="B219" s="506"/>
      <c r="C219" s="506"/>
      <c r="D219" s="506"/>
      <c r="E219" s="506"/>
      <c r="F219" s="506"/>
      <c r="G219" s="506"/>
      <c r="H219" s="506"/>
      <c r="I219" s="506"/>
      <c r="K219" s="347" t="s">
        <v>395</v>
      </c>
    </row>
    <row r="220" spans="1:11" s="9" customFormat="1" ht="28.5" customHeight="1">
      <c r="A220" s="523" t="s">
        <v>329</v>
      </c>
      <c r="B220" s="523"/>
      <c r="C220" s="523"/>
      <c r="D220" s="96">
        <v>200</v>
      </c>
      <c r="E220" s="97">
        <v>25.2</v>
      </c>
      <c r="F220" s="97">
        <v>23.1</v>
      </c>
      <c r="G220" s="97">
        <v>23.2</v>
      </c>
      <c r="H220" s="55">
        <f>G220*4+F220*9+E220*4</f>
        <v>401.5</v>
      </c>
      <c r="I220" s="401" t="s">
        <v>330</v>
      </c>
      <c r="K220" s="105" t="s">
        <v>31</v>
      </c>
    </row>
    <row r="221" spans="1:12" s="9" customFormat="1" ht="30" customHeight="1">
      <c r="A221" s="113" t="s">
        <v>25</v>
      </c>
      <c r="B221" s="117">
        <v>160.72727272727272</v>
      </c>
      <c r="C221" s="117">
        <v>159.95454545454547</v>
      </c>
      <c r="D221" s="179"/>
      <c r="E221" s="111"/>
      <c r="F221" s="111"/>
      <c r="G221" s="111"/>
      <c r="H221" s="111"/>
      <c r="I221" s="322"/>
      <c r="K221" s="105" t="s">
        <v>77</v>
      </c>
      <c r="L221" s="80"/>
    </row>
    <row r="222" spans="1:11" s="9" customFormat="1" ht="30" customHeight="1">
      <c r="A222" s="99" t="s">
        <v>64</v>
      </c>
      <c r="B222" s="62">
        <v>12.363636363636363</v>
      </c>
      <c r="C222" s="62">
        <v>12.363636363636363</v>
      </c>
      <c r="D222" s="179"/>
      <c r="E222" s="24"/>
      <c r="F222" s="24"/>
      <c r="G222" s="24"/>
      <c r="H222" s="194"/>
      <c r="I222" s="396"/>
      <c r="K222" s="347" t="s">
        <v>39</v>
      </c>
    </row>
    <row r="223" spans="1:11" s="9" customFormat="1" ht="30" customHeight="1">
      <c r="A223" s="99" t="s">
        <v>68</v>
      </c>
      <c r="B223" s="62">
        <v>13.909090909090908</v>
      </c>
      <c r="C223" s="62">
        <v>13.909090909090908</v>
      </c>
      <c r="D223" s="179"/>
      <c r="E223" s="111"/>
      <c r="F223" s="111"/>
      <c r="G223" s="111"/>
      <c r="H223" s="111"/>
      <c r="I223" s="322"/>
      <c r="K223" s="105" t="s">
        <v>179</v>
      </c>
    </row>
    <row r="224" spans="1:12" s="9" customFormat="1" ht="30" customHeight="1">
      <c r="A224" s="99" t="s">
        <v>4</v>
      </c>
      <c r="B224" s="62">
        <v>10</v>
      </c>
      <c r="C224" s="62">
        <v>10</v>
      </c>
      <c r="D224" s="179"/>
      <c r="E224" s="111"/>
      <c r="F224" s="49"/>
      <c r="G224" s="49"/>
      <c r="H224" s="45"/>
      <c r="I224" s="391"/>
      <c r="K224" s="105" t="s">
        <v>32</v>
      </c>
      <c r="L224" s="9">
        <f>B235</f>
        <v>2</v>
      </c>
    </row>
    <row r="225" spans="1:12" s="9" customFormat="1" ht="30" customHeight="1">
      <c r="A225" s="72" t="s">
        <v>88</v>
      </c>
      <c r="B225" s="60">
        <v>6</v>
      </c>
      <c r="C225" s="60">
        <v>6</v>
      </c>
      <c r="D225" s="341"/>
      <c r="E225" s="341"/>
      <c r="F225" s="135"/>
      <c r="G225" s="135"/>
      <c r="H225" s="60"/>
      <c r="I225" s="405"/>
      <c r="J225" s="80"/>
      <c r="K225" s="105" t="s">
        <v>180</v>
      </c>
      <c r="L225" s="18"/>
    </row>
    <row r="226" spans="1:12" s="80" customFormat="1" ht="30" customHeight="1">
      <c r="A226" s="99" t="s">
        <v>22</v>
      </c>
      <c r="B226" s="62">
        <v>7</v>
      </c>
      <c r="C226" s="62">
        <v>7</v>
      </c>
      <c r="D226" s="341"/>
      <c r="E226" s="341"/>
      <c r="F226" s="101"/>
      <c r="G226" s="101"/>
      <c r="H226" s="62"/>
      <c r="I226" s="406"/>
      <c r="K226" s="347" t="s">
        <v>182</v>
      </c>
      <c r="L226" s="81">
        <f>C261</f>
        <v>62</v>
      </c>
    </row>
    <row r="227" spans="1:12" s="9" customFormat="1" ht="30" customHeight="1">
      <c r="A227" s="100" t="s">
        <v>62</v>
      </c>
      <c r="B227" s="62">
        <v>6</v>
      </c>
      <c r="C227" s="62">
        <v>6</v>
      </c>
      <c r="D227" s="341"/>
      <c r="E227" s="341"/>
      <c r="F227" s="101"/>
      <c r="G227" s="101"/>
      <c r="H227" s="62"/>
      <c r="I227" s="384"/>
      <c r="K227" s="105" t="s">
        <v>181</v>
      </c>
      <c r="L227" s="80"/>
    </row>
    <row r="228" spans="1:12" s="80" customFormat="1" ht="30" customHeight="1">
      <c r="A228" s="188" t="s">
        <v>104</v>
      </c>
      <c r="B228" s="117">
        <v>4.636363636363637</v>
      </c>
      <c r="C228" s="117">
        <v>4.636363636363637</v>
      </c>
      <c r="D228" s="341"/>
      <c r="E228" s="341"/>
      <c r="F228" s="134"/>
      <c r="G228" s="134"/>
      <c r="H228" s="117"/>
      <c r="I228" s="384"/>
      <c r="J228" s="9"/>
      <c r="K228" s="347" t="s">
        <v>183</v>
      </c>
      <c r="L228" s="81">
        <f>C246</f>
        <v>60</v>
      </c>
    </row>
    <row r="229" spans="1:12" s="9" customFormat="1" ht="30" customHeight="1">
      <c r="A229" s="100" t="s">
        <v>93</v>
      </c>
      <c r="B229" s="62"/>
      <c r="C229" s="62">
        <v>170</v>
      </c>
      <c r="D229" s="341"/>
      <c r="E229" s="341"/>
      <c r="F229" s="101"/>
      <c r="G229" s="101"/>
      <c r="H229" s="62"/>
      <c r="I229" s="384"/>
      <c r="J229" s="80"/>
      <c r="K229" s="352" t="s">
        <v>184</v>
      </c>
      <c r="L229" s="81">
        <f>B230</f>
        <v>30</v>
      </c>
    </row>
    <row r="230" spans="1:12" s="9" customFormat="1" ht="30" customHeight="1">
      <c r="A230" s="71" t="s">
        <v>85</v>
      </c>
      <c r="B230" s="44">
        <v>30</v>
      </c>
      <c r="C230" s="62">
        <v>30</v>
      </c>
      <c r="D230" s="63"/>
      <c r="E230" s="135"/>
      <c r="F230" s="101"/>
      <c r="G230" s="101"/>
      <c r="H230" s="62"/>
      <c r="I230" s="406"/>
      <c r="J230" s="80"/>
      <c r="K230" s="352" t="s">
        <v>185</v>
      </c>
      <c r="L230" s="181"/>
    </row>
    <row r="231" spans="1:12" s="9" customFormat="1" ht="30" customHeight="1">
      <c r="A231" s="511" t="s">
        <v>351</v>
      </c>
      <c r="B231" s="554"/>
      <c r="C231" s="554"/>
      <c r="D231" s="42" t="s">
        <v>512</v>
      </c>
      <c r="E231" s="57">
        <v>3.2</v>
      </c>
      <c r="F231" s="57">
        <v>6.4</v>
      </c>
      <c r="G231" s="57">
        <v>10.8</v>
      </c>
      <c r="H231" s="55">
        <f>G231*4+F231*9+E231*4</f>
        <v>113.60000000000001</v>
      </c>
      <c r="I231" s="432" t="s">
        <v>352</v>
      </c>
      <c r="K231" s="347" t="s">
        <v>186</v>
      </c>
      <c r="L231" s="18">
        <f>C221</f>
        <v>159.95454545454547</v>
      </c>
    </row>
    <row r="232" spans="1:12" s="9" customFormat="1" ht="30" customHeight="1">
      <c r="A232" s="67" t="s">
        <v>138</v>
      </c>
      <c r="B232" s="44">
        <v>20</v>
      </c>
      <c r="C232" s="44">
        <v>20</v>
      </c>
      <c r="D232" s="44"/>
      <c r="E232" s="128"/>
      <c r="F232" s="128"/>
      <c r="G232" s="128"/>
      <c r="H232" s="128"/>
      <c r="I232" s="433"/>
      <c r="K232" s="347" t="s">
        <v>187</v>
      </c>
      <c r="L232" s="81">
        <f>B227</f>
        <v>6</v>
      </c>
    </row>
    <row r="233" spans="1:12" s="9" customFormat="1" ht="30" customHeight="1">
      <c r="A233" s="67" t="s">
        <v>66</v>
      </c>
      <c r="B233" s="44">
        <v>21</v>
      </c>
      <c r="C233" s="44">
        <v>20</v>
      </c>
      <c r="D233" s="44"/>
      <c r="E233" s="128"/>
      <c r="F233" s="56"/>
      <c r="G233" s="56"/>
      <c r="H233" s="55"/>
      <c r="I233" s="433"/>
      <c r="K233" s="347" t="s">
        <v>188</v>
      </c>
      <c r="L233" s="80">
        <f>C233</f>
        <v>20</v>
      </c>
    </row>
    <row r="234" spans="1:12" s="9" customFormat="1" ht="30" customHeight="1">
      <c r="A234" s="509" t="s">
        <v>256</v>
      </c>
      <c r="B234" s="509"/>
      <c r="C234" s="509"/>
      <c r="D234" s="22" t="s">
        <v>144</v>
      </c>
      <c r="E234" s="29">
        <v>0.3</v>
      </c>
      <c r="F234" s="29">
        <v>0</v>
      </c>
      <c r="G234" s="29">
        <v>15.2</v>
      </c>
      <c r="H234" s="30">
        <f>G234*4+F234*9+E234*4</f>
        <v>62</v>
      </c>
      <c r="I234" s="394" t="s">
        <v>257</v>
      </c>
      <c r="K234" s="352" t="s">
        <v>33</v>
      </c>
      <c r="L234" s="81">
        <f>B228+C255</f>
        <v>9.636363636363637</v>
      </c>
    </row>
    <row r="235" spans="1:12" s="9" customFormat="1" ht="30" customHeight="1">
      <c r="A235" s="72" t="s">
        <v>26</v>
      </c>
      <c r="B235" s="44">
        <v>2</v>
      </c>
      <c r="C235" s="44">
        <v>2</v>
      </c>
      <c r="D235" s="44"/>
      <c r="E235" s="49"/>
      <c r="F235" s="49"/>
      <c r="G235" s="26"/>
      <c r="H235" s="30"/>
      <c r="I235" s="394"/>
      <c r="K235" s="105" t="s">
        <v>34</v>
      </c>
      <c r="L235" s="18">
        <f>C262+C274</f>
        <v>13</v>
      </c>
    </row>
    <row r="236" spans="1:12" s="80" customFormat="1" ht="30" customHeight="1">
      <c r="A236" s="67" t="s">
        <v>4</v>
      </c>
      <c r="B236" s="35">
        <v>15</v>
      </c>
      <c r="C236" s="35">
        <v>15</v>
      </c>
      <c r="D236" s="36"/>
      <c r="E236" s="130"/>
      <c r="F236" s="130"/>
      <c r="G236" s="130"/>
      <c r="H236" s="143"/>
      <c r="I236" s="378"/>
      <c r="J236" s="9"/>
      <c r="K236" s="105" t="s">
        <v>189</v>
      </c>
      <c r="L236" s="81">
        <f>B225</f>
        <v>6</v>
      </c>
    </row>
    <row r="237" spans="1:12" s="126" customFormat="1" ht="30" customHeight="1">
      <c r="A237" s="67" t="s">
        <v>143</v>
      </c>
      <c r="B237" s="44">
        <v>8</v>
      </c>
      <c r="C237" s="44">
        <v>7</v>
      </c>
      <c r="D237" s="44"/>
      <c r="E237" s="49"/>
      <c r="F237" s="49"/>
      <c r="G237" s="26"/>
      <c r="H237" s="30"/>
      <c r="I237" s="394"/>
      <c r="J237" s="9"/>
      <c r="K237" s="105" t="s">
        <v>369</v>
      </c>
      <c r="L237" s="9">
        <f>C292</f>
        <v>6</v>
      </c>
    </row>
    <row r="238" spans="1:12" s="80" customFormat="1" ht="30" customHeight="1">
      <c r="A238" s="502" t="s">
        <v>232</v>
      </c>
      <c r="B238" s="502"/>
      <c r="C238" s="502"/>
      <c r="D238" s="31">
        <v>150</v>
      </c>
      <c r="E238" s="32">
        <v>0.2</v>
      </c>
      <c r="F238" s="32">
        <v>0</v>
      </c>
      <c r="G238" s="32">
        <v>8.6</v>
      </c>
      <c r="H238" s="201">
        <f>E238*4+F238*9+G238*4</f>
        <v>35.199999999999996</v>
      </c>
      <c r="I238" s="261" t="s">
        <v>233</v>
      </c>
      <c r="J238" s="9"/>
      <c r="K238" s="105" t="s">
        <v>190</v>
      </c>
      <c r="L238" s="9">
        <v>1.2</v>
      </c>
    </row>
    <row r="239" spans="1:12" s="80" customFormat="1" ht="30" customHeight="1">
      <c r="A239" s="516" t="s">
        <v>63</v>
      </c>
      <c r="B239" s="516"/>
      <c r="C239" s="516"/>
      <c r="D239" s="167">
        <f>D240+300+D257+D288</f>
        <v>800</v>
      </c>
      <c r="E239" s="127">
        <f>E240+E245+E257+E288+E293+E295</f>
        <v>31.619999999999997</v>
      </c>
      <c r="F239" s="127">
        <f>F240+F245+F257+F288+F293+F295</f>
        <v>25.1</v>
      </c>
      <c r="G239" s="127">
        <f>G240+G245+G257+G288+G293+G295</f>
        <v>117.22</v>
      </c>
      <c r="H239" s="127">
        <f>H240+H245+H257+H288+H293+H295</f>
        <v>813.9800000000001</v>
      </c>
      <c r="I239" s="372"/>
      <c r="J239" s="9"/>
      <c r="K239" s="347" t="s">
        <v>191</v>
      </c>
      <c r="L239" s="9">
        <v>3</v>
      </c>
    </row>
    <row r="240" spans="1:10" s="80" customFormat="1" ht="30" customHeight="1">
      <c r="A240" s="504" t="s">
        <v>269</v>
      </c>
      <c r="B240" s="504"/>
      <c r="C240" s="504"/>
      <c r="D240" s="24">
        <v>100</v>
      </c>
      <c r="E240" s="26">
        <v>0.7000000000000001</v>
      </c>
      <c r="F240" s="26">
        <v>0.1</v>
      </c>
      <c r="G240" s="26">
        <v>1.9</v>
      </c>
      <c r="H240" s="26">
        <v>11.299999999999999</v>
      </c>
      <c r="I240" s="261" t="s">
        <v>270</v>
      </c>
      <c r="J240" s="9"/>
    </row>
    <row r="241" spans="1:10" s="80" customFormat="1" ht="30" customHeight="1">
      <c r="A241" s="119" t="s">
        <v>271</v>
      </c>
      <c r="B241" s="168">
        <f>C241*1.05</f>
        <v>105</v>
      </c>
      <c r="C241" s="111">
        <v>100</v>
      </c>
      <c r="D241" s="44"/>
      <c r="E241" s="44"/>
      <c r="F241" s="44"/>
      <c r="G241" s="44"/>
      <c r="H241" s="49"/>
      <c r="I241" s="262"/>
      <c r="J241" s="9"/>
    </row>
    <row r="242" spans="1:9" s="9" customFormat="1" ht="30" customHeight="1">
      <c r="A242" s="119" t="s">
        <v>272</v>
      </c>
      <c r="B242" s="168">
        <f>C242*1.02</f>
        <v>102</v>
      </c>
      <c r="C242" s="111">
        <v>100</v>
      </c>
      <c r="D242" s="41"/>
      <c r="E242" s="41"/>
      <c r="F242" s="41"/>
      <c r="G242" s="41"/>
      <c r="H242" s="266"/>
      <c r="I242" s="262"/>
    </row>
    <row r="243" spans="1:10" s="9" customFormat="1" ht="30" customHeight="1">
      <c r="A243" s="506" t="s">
        <v>76</v>
      </c>
      <c r="B243" s="506"/>
      <c r="C243" s="506"/>
      <c r="D243" s="506"/>
      <c r="E243" s="506"/>
      <c r="F243" s="506"/>
      <c r="G243" s="506"/>
      <c r="H243" s="506"/>
      <c r="I243" s="506"/>
      <c r="J243" s="80"/>
    </row>
    <row r="244" spans="1:13" s="80" customFormat="1" ht="30" customHeight="1">
      <c r="A244" s="249" t="s">
        <v>273</v>
      </c>
      <c r="B244" s="168">
        <f>C244*1.82</f>
        <v>182</v>
      </c>
      <c r="C244" s="111">
        <v>100</v>
      </c>
      <c r="D244" s="24">
        <v>100</v>
      </c>
      <c r="E244" s="26">
        <v>0.8333333333333334</v>
      </c>
      <c r="F244" s="26">
        <v>0.1</v>
      </c>
      <c r="G244" s="26">
        <v>1.6</v>
      </c>
      <c r="H244" s="26">
        <v>10.633333333333335</v>
      </c>
      <c r="I244" s="260" t="s">
        <v>274</v>
      </c>
      <c r="J244" s="9"/>
      <c r="M244" s="9"/>
    </row>
    <row r="245" spans="1:13" s="9" customFormat="1" ht="30" customHeight="1">
      <c r="A245" s="504" t="s">
        <v>376</v>
      </c>
      <c r="B245" s="504"/>
      <c r="C245" s="504"/>
      <c r="D245" s="41" t="s">
        <v>316</v>
      </c>
      <c r="E245" s="56">
        <v>6.7</v>
      </c>
      <c r="F245" s="56">
        <v>4.6</v>
      </c>
      <c r="G245" s="56">
        <v>16</v>
      </c>
      <c r="H245" s="55">
        <f>G245*4+F245*9+E245*4</f>
        <v>132.20000000000002</v>
      </c>
      <c r="I245" s="374" t="s">
        <v>377</v>
      </c>
      <c r="M245" s="16"/>
    </row>
    <row r="246" spans="1:13" s="9" customFormat="1" ht="30" customHeight="1">
      <c r="A246" s="148" t="s">
        <v>378</v>
      </c>
      <c r="B246" s="445">
        <f>C246*1.5</f>
        <v>90</v>
      </c>
      <c r="C246" s="334">
        <v>60</v>
      </c>
      <c r="D246" s="21"/>
      <c r="E246" s="128"/>
      <c r="F246" s="128"/>
      <c r="G246" s="128"/>
      <c r="H246" s="128"/>
      <c r="I246" s="375"/>
      <c r="M246" s="16"/>
    </row>
    <row r="247" spans="1:13" s="9" customFormat="1" ht="30" customHeight="1">
      <c r="A247" s="148" t="s">
        <v>152</v>
      </c>
      <c r="B247" s="445">
        <f>C247*1.82</f>
        <v>109.2</v>
      </c>
      <c r="C247" s="334">
        <v>60</v>
      </c>
      <c r="D247" s="21"/>
      <c r="E247" s="128"/>
      <c r="F247" s="128"/>
      <c r="G247" s="128"/>
      <c r="H247" s="111"/>
      <c r="I247" s="375"/>
      <c r="M247" s="89"/>
    </row>
    <row r="248" spans="1:13" s="9" customFormat="1" ht="30" customHeight="1">
      <c r="A248" s="70" t="s">
        <v>379</v>
      </c>
      <c r="B248" s="33">
        <f>C248*1.35</f>
        <v>78.30000000000001</v>
      </c>
      <c r="C248" s="45">
        <v>58</v>
      </c>
      <c r="D248" s="21"/>
      <c r="E248" s="56"/>
      <c r="F248" s="56"/>
      <c r="G248" s="56"/>
      <c r="H248" s="55"/>
      <c r="I248" s="374"/>
      <c r="M248" s="157"/>
    </row>
    <row r="249" spans="1:13" s="9" customFormat="1" ht="30" customHeight="1">
      <c r="A249" s="119" t="s">
        <v>375</v>
      </c>
      <c r="B249" s="334"/>
      <c r="C249" s="334">
        <v>50</v>
      </c>
      <c r="D249" s="21"/>
      <c r="E249" s="128"/>
      <c r="F249" s="128"/>
      <c r="G249" s="128"/>
      <c r="H249" s="111"/>
      <c r="I249" s="375"/>
      <c r="M249" s="16"/>
    </row>
    <row r="250" spans="1:13" s="9" customFormat="1" ht="30" customHeight="1">
      <c r="A250" s="72" t="s">
        <v>12</v>
      </c>
      <c r="B250" s="198">
        <f>C250*1.33</f>
        <v>133</v>
      </c>
      <c r="C250" s="241">
        <v>100</v>
      </c>
      <c r="D250" s="5"/>
      <c r="E250" s="128"/>
      <c r="F250" s="128"/>
      <c r="G250" s="128"/>
      <c r="H250" s="168"/>
      <c r="I250" s="375"/>
      <c r="M250" s="16"/>
    </row>
    <row r="251" spans="1:13" s="9" customFormat="1" ht="30" customHeight="1">
      <c r="A251" s="72" t="s">
        <v>13</v>
      </c>
      <c r="B251" s="198">
        <f>C251*1.43</f>
        <v>143</v>
      </c>
      <c r="C251" s="241">
        <v>100</v>
      </c>
      <c r="D251" s="5"/>
      <c r="E251" s="128"/>
      <c r="F251" s="128"/>
      <c r="G251" s="128"/>
      <c r="H251" s="168"/>
      <c r="I251" s="375"/>
      <c r="J251" s="155"/>
      <c r="M251" s="16"/>
    </row>
    <row r="252" spans="1:13" s="80" customFormat="1" ht="30" customHeight="1">
      <c r="A252" s="71" t="s">
        <v>14</v>
      </c>
      <c r="B252" s="198">
        <f>C252*1.54</f>
        <v>154</v>
      </c>
      <c r="C252" s="241">
        <v>100</v>
      </c>
      <c r="D252" s="5"/>
      <c r="E252" s="128"/>
      <c r="F252" s="56"/>
      <c r="G252" s="56"/>
      <c r="H252" s="55"/>
      <c r="I252" s="375"/>
      <c r="J252" s="9"/>
      <c r="K252" s="9"/>
      <c r="L252" s="9"/>
      <c r="M252" s="89"/>
    </row>
    <row r="253" spans="1:13" s="80" customFormat="1" ht="30" customHeight="1">
      <c r="A253" s="71" t="s">
        <v>15</v>
      </c>
      <c r="B253" s="198">
        <f>C253*1.67</f>
        <v>167</v>
      </c>
      <c r="C253" s="241">
        <v>100</v>
      </c>
      <c r="D253" s="5"/>
      <c r="E253" s="128"/>
      <c r="F253" s="128"/>
      <c r="G253" s="128"/>
      <c r="H253" s="168"/>
      <c r="I253" s="375"/>
      <c r="J253" s="9"/>
      <c r="K253" s="9"/>
      <c r="L253" s="9"/>
      <c r="M253" s="9"/>
    </row>
    <row r="254" spans="1:13" s="80" customFormat="1" ht="30" customHeight="1">
      <c r="A254" s="72" t="s">
        <v>18</v>
      </c>
      <c r="B254" s="115">
        <f>C254*1.19</f>
        <v>17.849999999999998</v>
      </c>
      <c r="C254" s="241">
        <v>15</v>
      </c>
      <c r="D254" s="213"/>
      <c r="E254" s="38"/>
      <c r="F254" s="38"/>
      <c r="G254" s="38"/>
      <c r="H254" s="144"/>
      <c r="I254" s="446"/>
      <c r="J254" s="9"/>
      <c r="K254" s="9"/>
      <c r="L254" s="9"/>
      <c r="M254" s="9"/>
    </row>
    <row r="255" spans="1:13" s="80" customFormat="1" ht="30" customHeight="1">
      <c r="A255" s="119" t="s">
        <v>19</v>
      </c>
      <c r="B255" s="334">
        <v>5</v>
      </c>
      <c r="C255" s="334">
        <v>5</v>
      </c>
      <c r="D255" s="111"/>
      <c r="E255" s="128"/>
      <c r="F255" s="128"/>
      <c r="G255" s="128"/>
      <c r="H255" s="168"/>
      <c r="I255" s="375"/>
      <c r="J255" s="9"/>
      <c r="K255" s="9"/>
      <c r="L255" s="9"/>
      <c r="M255" s="9"/>
    </row>
    <row r="256" spans="1:9" s="9" customFormat="1" ht="30" customHeight="1">
      <c r="A256" s="71" t="s">
        <v>78</v>
      </c>
      <c r="B256" s="335">
        <v>0.2</v>
      </c>
      <c r="C256" s="335">
        <v>0.2</v>
      </c>
      <c r="D256" s="213"/>
      <c r="E256" s="38"/>
      <c r="F256" s="38"/>
      <c r="G256" s="38"/>
      <c r="H256" s="144"/>
      <c r="I256" s="446"/>
    </row>
    <row r="257" spans="1:10" s="9" customFormat="1" ht="30" customHeight="1">
      <c r="A257" s="503" t="s">
        <v>331</v>
      </c>
      <c r="B257" s="503"/>
      <c r="C257" s="503"/>
      <c r="D257" s="54">
        <v>200</v>
      </c>
      <c r="E257" s="56">
        <v>18</v>
      </c>
      <c r="F257" s="56">
        <v>18.9</v>
      </c>
      <c r="G257" s="56">
        <v>16.5</v>
      </c>
      <c r="H257" s="55">
        <f>E257*4+F257*9+G257*4</f>
        <v>308.1</v>
      </c>
      <c r="I257" s="374" t="s">
        <v>332</v>
      </c>
      <c r="J257" s="80"/>
    </row>
    <row r="258" spans="1:9" s="9" customFormat="1" ht="30" customHeight="1">
      <c r="A258" s="65" t="s">
        <v>134</v>
      </c>
      <c r="B258" s="33">
        <v>81</v>
      </c>
      <c r="C258" s="45">
        <v>72</v>
      </c>
      <c r="D258" s="5"/>
      <c r="E258" s="128"/>
      <c r="F258" s="128"/>
      <c r="G258" s="128"/>
      <c r="H258" s="168"/>
      <c r="I258" s="373"/>
    </row>
    <row r="259" spans="1:9" s="9" customFormat="1" ht="30" customHeight="1">
      <c r="A259" s="148" t="s">
        <v>158</v>
      </c>
      <c r="B259" s="33">
        <f>C259*1.054</f>
        <v>75.888</v>
      </c>
      <c r="C259" s="35">
        <v>72</v>
      </c>
      <c r="D259" s="5"/>
      <c r="E259" s="128"/>
      <c r="F259" s="128"/>
      <c r="G259" s="128"/>
      <c r="H259" s="168"/>
      <c r="I259" s="373"/>
    </row>
    <row r="260" spans="1:9" s="9" customFormat="1" ht="30" customHeight="1">
      <c r="A260" s="65" t="s">
        <v>532</v>
      </c>
      <c r="B260" s="33"/>
      <c r="C260" s="45">
        <v>50</v>
      </c>
      <c r="D260" s="5"/>
      <c r="E260" s="128"/>
      <c r="F260" s="128"/>
      <c r="G260" s="128"/>
      <c r="H260" s="168"/>
      <c r="I260" s="373"/>
    </row>
    <row r="261" spans="1:13" s="80" customFormat="1" ht="30" customHeight="1">
      <c r="A261" s="148" t="s">
        <v>135</v>
      </c>
      <c r="B261" s="33">
        <f>C261*1.048</f>
        <v>64.976</v>
      </c>
      <c r="C261" s="35">
        <v>62</v>
      </c>
      <c r="D261" s="5"/>
      <c r="E261" s="128"/>
      <c r="F261" s="118"/>
      <c r="G261" s="118"/>
      <c r="H261" s="229"/>
      <c r="I261" s="373"/>
      <c r="K261" s="9"/>
      <c r="L261" s="9"/>
      <c r="M261" s="9"/>
    </row>
    <row r="262" spans="1:12" s="80" customFormat="1" ht="30" customHeight="1">
      <c r="A262" s="66" t="s">
        <v>11</v>
      </c>
      <c r="B262" s="45">
        <v>3</v>
      </c>
      <c r="C262" s="43">
        <v>3</v>
      </c>
      <c r="D262" s="5"/>
      <c r="E262" s="128"/>
      <c r="F262" s="128"/>
      <c r="G262" s="128"/>
      <c r="H262" s="168"/>
      <c r="I262" s="373"/>
      <c r="K262" s="9"/>
      <c r="L262" s="9"/>
    </row>
    <row r="263" spans="1:13" s="80" customFormat="1" ht="30" customHeight="1">
      <c r="A263" s="113" t="s">
        <v>94</v>
      </c>
      <c r="B263" s="168"/>
      <c r="C263" s="45">
        <v>50</v>
      </c>
      <c r="D263" s="5"/>
      <c r="E263" s="128"/>
      <c r="F263" s="118"/>
      <c r="G263" s="118"/>
      <c r="H263" s="229"/>
      <c r="I263" s="373"/>
      <c r="K263" s="9"/>
      <c r="L263" s="9"/>
      <c r="M263" s="9"/>
    </row>
    <row r="264" spans="1:10" s="9" customFormat="1" ht="30" customHeight="1">
      <c r="A264" s="64" t="s">
        <v>12</v>
      </c>
      <c r="B264" s="43">
        <f>C264*1.33</f>
        <v>106.4</v>
      </c>
      <c r="C264" s="43">
        <v>80</v>
      </c>
      <c r="D264" s="5"/>
      <c r="E264" s="128"/>
      <c r="F264" s="128"/>
      <c r="G264" s="128"/>
      <c r="H264" s="168"/>
      <c r="I264" s="373"/>
      <c r="J264" s="80"/>
    </row>
    <row r="265" spans="1:9" s="9" customFormat="1" ht="30" customHeight="1">
      <c r="A265" s="64" t="s">
        <v>13</v>
      </c>
      <c r="B265" s="43">
        <f>C265*1.43</f>
        <v>114.39999999999999</v>
      </c>
      <c r="C265" s="43">
        <v>80</v>
      </c>
      <c r="D265" s="5"/>
      <c r="E265" s="128"/>
      <c r="F265" s="128"/>
      <c r="G265" s="128"/>
      <c r="H265" s="168"/>
      <c r="I265" s="373"/>
    </row>
    <row r="266" spans="1:13" s="80" customFormat="1" ht="30" customHeight="1">
      <c r="A266" s="67" t="s">
        <v>14</v>
      </c>
      <c r="B266" s="43">
        <f>C266*1.54</f>
        <v>123.2</v>
      </c>
      <c r="C266" s="43">
        <v>80</v>
      </c>
      <c r="D266" s="5"/>
      <c r="E266" s="128"/>
      <c r="F266" s="128"/>
      <c r="G266" s="128"/>
      <c r="H266" s="168"/>
      <c r="I266" s="373"/>
      <c r="K266" s="9"/>
      <c r="L266" s="9"/>
      <c r="M266" s="9"/>
    </row>
    <row r="267" spans="1:13" s="80" customFormat="1" ht="30" customHeight="1">
      <c r="A267" s="67" t="s">
        <v>15</v>
      </c>
      <c r="B267" s="43">
        <f>C267*1.67</f>
        <v>133.6</v>
      </c>
      <c r="C267" s="43">
        <v>80</v>
      </c>
      <c r="D267" s="5"/>
      <c r="E267" s="128"/>
      <c r="F267" s="128"/>
      <c r="G267" s="128"/>
      <c r="H267" s="168"/>
      <c r="I267" s="373"/>
      <c r="K267" s="9"/>
      <c r="L267" s="9"/>
      <c r="M267" s="9"/>
    </row>
    <row r="268" spans="1:13" s="9" customFormat="1" ht="30" customHeight="1">
      <c r="A268" s="64" t="s">
        <v>67</v>
      </c>
      <c r="B268" s="43">
        <f>C268*1.25</f>
        <v>42.5</v>
      </c>
      <c r="C268" s="43">
        <v>34</v>
      </c>
      <c r="D268" s="5"/>
      <c r="E268" s="128"/>
      <c r="F268" s="128"/>
      <c r="G268" s="128"/>
      <c r="H268" s="168"/>
      <c r="I268" s="373"/>
      <c r="J268" s="80"/>
      <c r="M268" s="16"/>
    </row>
    <row r="269" spans="1:13" s="80" customFormat="1" ht="30" customHeight="1">
      <c r="A269" s="64" t="s">
        <v>16</v>
      </c>
      <c r="B269" s="43">
        <f>C269*1.33</f>
        <v>45.22</v>
      </c>
      <c r="C269" s="43">
        <v>34</v>
      </c>
      <c r="D269" s="5"/>
      <c r="E269" s="128"/>
      <c r="F269" s="128"/>
      <c r="G269" s="128"/>
      <c r="H269" s="168"/>
      <c r="I269" s="373"/>
      <c r="J269" s="9"/>
      <c r="K269" s="9"/>
      <c r="L269" s="9"/>
      <c r="M269" s="16"/>
    </row>
    <row r="270" spans="1:13" s="80" customFormat="1" ht="30" customHeight="1">
      <c r="A270" s="64" t="s">
        <v>18</v>
      </c>
      <c r="B270" s="45">
        <f>C270*1.19</f>
        <v>22.61</v>
      </c>
      <c r="C270" s="43">
        <v>19</v>
      </c>
      <c r="D270" s="5"/>
      <c r="E270" s="128"/>
      <c r="F270" s="128"/>
      <c r="G270" s="128"/>
      <c r="H270" s="168"/>
      <c r="I270" s="373"/>
      <c r="K270" s="9"/>
      <c r="L270" s="9"/>
      <c r="M270" s="16"/>
    </row>
    <row r="271" spans="1:13" s="9" customFormat="1" ht="30" customHeight="1">
      <c r="A271" s="72" t="s">
        <v>58</v>
      </c>
      <c r="B271" s="5">
        <v>10</v>
      </c>
      <c r="C271" s="43">
        <v>10</v>
      </c>
      <c r="D271" s="5"/>
      <c r="E271" s="128"/>
      <c r="F271" s="128"/>
      <c r="G271" s="128"/>
      <c r="H271" s="168"/>
      <c r="I271" s="373"/>
      <c r="J271" s="80"/>
      <c r="M271" s="16"/>
    </row>
    <row r="272" spans="1:13" s="80" customFormat="1" ht="30" customHeight="1">
      <c r="A272" s="119" t="s">
        <v>82</v>
      </c>
      <c r="B272" s="49">
        <f>C272*1.02</f>
        <v>22.44</v>
      </c>
      <c r="C272" s="75">
        <v>22</v>
      </c>
      <c r="D272" s="180"/>
      <c r="E272" s="54"/>
      <c r="F272" s="54"/>
      <c r="G272" s="54"/>
      <c r="H272" s="54"/>
      <c r="I272" s="380"/>
      <c r="J272" s="9"/>
      <c r="K272" s="9"/>
      <c r="L272" s="9"/>
      <c r="M272" s="2"/>
    </row>
    <row r="273" spans="1:13" s="80" customFormat="1" ht="30" customHeight="1">
      <c r="A273" s="67" t="s">
        <v>103</v>
      </c>
      <c r="B273" s="45">
        <f>C273*1.18</f>
        <v>25.959999999999997</v>
      </c>
      <c r="C273" s="75">
        <v>22</v>
      </c>
      <c r="D273" s="180"/>
      <c r="E273" s="54"/>
      <c r="F273" s="54"/>
      <c r="G273" s="54"/>
      <c r="H273" s="54"/>
      <c r="I273" s="380"/>
      <c r="J273" s="9"/>
      <c r="K273" s="9"/>
      <c r="L273" s="9"/>
      <c r="M273" s="2"/>
    </row>
    <row r="274" spans="1:13" s="80" customFormat="1" ht="30" customHeight="1">
      <c r="A274" s="64" t="s">
        <v>11</v>
      </c>
      <c r="B274" s="5">
        <v>10</v>
      </c>
      <c r="C274" s="43">
        <v>10</v>
      </c>
      <c r="D274" s="5"/>
      <c r="E274" s="128"/>
      <c r="F274" s="128"/>
      <c r="G274" s="128"/>
      <c r="H274" s="128"/>
      <c r="I274" s="373"/>
      <c r="J274" s="9"/>
      <c r="K274" s="9"/>
      <c r="L274" s="9"/>
      <c r="M274" s="2"/>
    </row>
    <row r="275" spans="1:13" s="80" customFormat="1" ht="30" customHeight="1">
      <c r="A275" s="506" t="s">
        <v>76</v>
      </c>
      <c r="B275" s="506"/>
      <c r="C275" s="506"/>
      <c r="D275" s="506"/>
      <c r="E275" s="506"/>
      <c r="F275" s="506"/>
      <c r="G275" s="506"/>
      <c r="H275" s="506"/>
      <c r="I275" s="506"/>
      <c r="J275" s="9"/>
      <c r="K275" s="9"/>
      <c r="L275" s="9"/>
      <c r="M275" s="2"/>
    </row>
    <row r="276" spans="1:13" s="80" customFormat="1" ht="30" customHeight="1">
      <c r="A276" s="503" t="s">
        <v>333</v>
      </c>
      <c r="B276" s="503"/>
      <c r="C276" s="503"/>
      <c r="D276" s="54">
        <v>200</v>
      </c>
      <c r="E276" s="56">
        <v>16.2</v>
      </c>
      <c r="F276" s="56">
        <v>17.2</v>
      </c>
      <c r="G276" s="56">
        <v>16.5</v>
      </c>
      <c r="H276" s="55">
        <f>E276*4+F276*9+G276*4</f>
        <v>285.59999999999997</v>
      </c>
      <c r="I276" s="374" t="s">
        <v>334</v>
      </c>
      <c r="J276" s="9"/>
      <c r="K276" s="9"/>
      <c r="L276" s="9"/>
      <c r="M276" s="2"/>
    </row>
    <row r="277" spans="1:13" s="80" customFormat="1" ht="30" customHeight="1">
      <c r="A277" s="65" t="s">
        <v>90</v>
      </c>
      <c r="B277" s="33">
        <f>C277*1.36</f>
        <v>107.44000000000001</v>
      </c>
      <c r="C277" s="45">
        <v>79</v>
      </c>
      <c r="D277" s="5"/>
      <c r="E277" s="128"/>
      <c r="F277" s="128"/>
      <c r="G277" s="128"/>
      <c r="H277" s="128"/>
      <c r="I277" s="373"/>
      <c r="J277" s="9"/>
      <c r="K277" s="9"/>
      <c r="L277" s="9"/>
      <c r="M277" s="2"/>
    </row>
    <row r="278" spans="1:13" s="9" customFormat="1" ht="30" customHeight="1">
      <c r="A278" s="65" t="s">
        <v>91</v>
      </c>
      <c r="B278" s="33">
        <f>C278*1.18</f>
        <v>93.22</v>
      </c>
      <c r="C278" s="5">
        <f>C277</f>
        <v>79</v>
      </c>
      <c r="D278" s="5"/>
      <c r="E278" s="128"/>
      <c r="F278" s="128"/>
      <c r="G278" s="128"/>
      <c r="H278" s="168"/>
      <c r="I278" s="373"/>
      <c r="M278" s="2"/>
    </row>
    <row r="279" spans="1:13" s="9" customFormat="1" ht="30" customHeight="1">
      <c r="A279" s="66" t="s">
        <v>11</v>
      </c>
      <c r="B279" s="45">
        <v>3</v>
      </c>
      <c r="C279" s="43">
        <v>3</v>
      </c>
      <c r="D279" s="5"/>
      <c r="E279" s="128"/>
      <c r="F279" s="128"/>
      <c r="G279" s="128"/>
      <c r="H279" s="168"/>
      <c r="I279" s="373"/>
      <c r="J279" s="317"/>
      <c r="M279" s="2"/>
    </row>
    <row r="280" spans="1:13" s="8" customFormat="1" ht="30" customHeight="1">
      <c r="A280" s="113" t="s">
        <v>100</v>
      </c>
      <c r="B280" s="168"/>
      <c r="C280" s="168">
        <v>50</v>
      </c>
      <c r="D280" s="111"/>
      <c r="E280" s="128"/>
      <c r="F280" s="118"/>
      <c r="G280" s="118"/>
      <c r="H280" s="229"/>
      <c r="I280" s="373"/>
      <c r="J280" s="80"/>
      <c r="K280" s="9"/>
      <c r="L280" s="9"/>
      <c r="M280" s="2"/>
    </row>
    <row r="281" spans="1:13" s="80" customFormat="1" ht="30" customHeight="1">
      <c r="A281" s="64" t="s">
        <v>12</v>
      </c>
      <c r="B281" s="43">
        <f>C281*1.33</f>
        <v>159.60000000000002</v>
      </c>
      <c r="C281" s="43">
        <v>120</v>
      </c>
      <c r="D281" s="5"/>
      <c r="E281" s="128"/>
      <c r="F281" s="128"/>
      <c r="G281" s="128"/>
      <c r="H281" s="168"/>
      <c r="I281" s="373"/>
      <c r="J281" s="9"/>
      <c r="K281" s="9"/>
      <c r="L281" s="9"/>
      <c r="M281" s="2"/>
    </row>
    <row r="282" spans="1:13" s="80" customFormat="1" ht="30" customHeight="1">
      <c r="A282" s="64" t="s">
        <v>13</v>
      </c>
      <c r="B282" s="43">
        <f>C282*1.43</f>
        <v>171.6</v>
      </c>
      <c r="C282" s="43">
        <v>120</v>
      </c>
      <c r="D282" s="5"/>
      <c r="E282" s="128"/>
      <c r="F282" s="128"/>
      <c r="G282" s="128"/>
      <c r="H282" s="168"/>
      <c r="I282" s="373"/>
      <c r="J282" s="9"/>
      <c r="K282" s="9"/>
      <c r="L282" s="9"/>
      <c r="M282" s="19"/>
    </row>
    <row r="283" spans="1:13" s="80" customFormat="1" ht="30" customHeight="1">
      <c r="A283" s="67" t="s">
        <v>14</v>
      </c>
      <c r="B283" s="43">
        <f>C283*1.54</f>
        <v>184.8</v>
      </c>
      <c r="C283" s="43">
        <v>120</v>
      </c>
      <c r="D283" s="5"/>
      <c r="E283" s="128"/>
      <c r="F283" s="128"/>
      <c r="G283" s="128"/>
      <c r="H283" s="168"/>
      <c r="I283" s="373"/>
      <c r="J283" s="9"/>
      <c r="K283" s="9"/>
      <c r="L283" s="9"/>
      <c r="M283" s="2"/>
    </row>
    <row r="284" spans="1:13" s="9" customFormat="1" ht="30" customHeight="1">
      <c r="A284" s="67" t="s">
        <v>15</v>
      </c>
      <c r="B284" s="43">
        <f>C284*1.67</f>
        <v>200.39999999999998</v>
      </c>
      <c r="C284" s="43">
        <v>120</v>
      </c>
      <c r="D284" s="5"/>
      <c r="E284" s="128"/>
      <c r="F284" s="128"/>
      <c r="G284" s="128"/>
      <c r="H284" s="168"/>
      <c r="I284" s="373"/>
      <c r="M284" s="2"/>
    </row>
    <row r="285" spans="1:13" s="9" customFormat="1" ht="30" customHeight="1">
      <c r="A285" s="64" t="s">
        <v>18</v>
      </c>
      <c r="B285" s="45">
        <f>C285*1.19</f>
        <v>17.849999999999998</v>
      </c>
      <c r="C285" s="43">
        <v>15</v>
      </c>
      <c r="D285" s="5"/>
      <c r="E285" s="128"/>
      <c r="F285" s="128"/>
      <c r="G285" s="128"/>
      <c r="H285" s="168"/>
      <c r="I285" s="373"/>
      <c r="M285" s="80"/>
    </row>
    <row r="286" spans="1:12" s="126" customFormat="1" ht="30" customHeight="1">
      <c r="A286" s="72" t="s">
        <v>58</v>
      </c>
      <c r="B286" s="5">
        <v>8</v>
      </c>
      <c r="C286" s="43">
        <v>8</v>
      </c>
      <c r="D286" s="5"/>
      <c r="E286" s="128"/>
      <c r="F286" s="128"/>
      <c r="G286" s="128"/>
      <c r="H286" s="168"/>
      <c r="I286" s="373"/>
      <c r="J286" s="80"/>
      <c r="K286" s="9"/>
      <c r="L286" s="9"/>
    </row>
    <row r="287" spans="1:13" s="9" customFormat="1" ht="30" customHeight="1">
      <c r="A287" s="64" t="s">
        <v>11</v>
      </c>
      <c r="B287" s="5">
        <v>10</v>
      </c>
      <c r="C287" s="43">
        <v>10</v>
      </c>
      <c r="D287" s="5"/>
      <c r="E287" s="128"/>
      <c r="F287" s="128"/>
      <c r="G287" s="128"/>
      <c r="H287" s="128"/>
      <c r="I287" s="373"/>
      <c r="J287" s="80"/>
      <c r="M287" s="80"/>
    </row>
    <row r="288" spans="1:13" s="9" customFormat="1" ht="30" customHeight="1">
      <c r="A288" s="519" t="s">
        <v>367</v>
      </c>
      <c r="B288" s="519"/>
      <c r="C288" s="519"/>
      <c r="D288" s="98">
        <v>200</v>
      </c>
      <c r="E288" s="97">
        <v>0.2</v>
      </c>
      <c r="F288" s="97">
        <v>0.1</v>
      </c>
      <c r="G288" s="97">
        <v>21.5</v>
      </c>
      <c r="H288" s="55">
        <f>G288*4+F288*9+E288*4</f>
        <v>87.7</v>
      </c>
      <c r="I288" s="259" t="s">
        <v>370</v>
      </c>
      <c r="J288" s="80"/>
      <c r="M288" s="80"/>
    </row>
    <row r="289" spans="1:13" s="9" customFormat="1" ht="30" customHeight="1">
      <c r="A289" s="71" t="s">
        <v>390</v>
      </c>
      <c r="B289" s="135">
        <f>C289*1.06</f>
        <v>25.44</v>
      </c>
      <c r="C289" s="63">
        <v>24</v>
      </c>
      <c r="D289" s="102"/>
      <c r="E289" s="136"/>
      <c r="F289" s="136"/>
      <c r="G289" s="136"/>
      <c r="H289" s="147"/>
      <c r="I289" s="384"/>
      <c r="J289" s="80"/>
      <c r="K289" s="218"/>
      <c r="L289" s="16"/>
      <c r="M289" s="80"/>
    </row>
    <row r="290" spans="1:13" s="9" customFormat="1" ht="30" customHeight="1">
      <c r="A290" s="71" t="s">
        <v>358</v>
      </c>
      <c r="B290" s="135">
        <f>C290*1.06</f>
        <v>25.44</v>
      </c>
      <c r="C290" s="63">
        <v>24</v>
      </c>
      <c r="D290" s="102"/>
      <c r="E290" s="136"/>
      <c r="F290" s="136"/>
      <c r="G290" s="136"/>
      <c r="H290" s="147"/>
      <c r="I290" s="384"/>
      <c r="J290" s="80"/>
      <c r="K290" s="215"/>
      <c r="L290" s="16"/>
      <c r="M290" s="80"/>
    </row>
    <row r="291" spans="1:12" s="9" customFormat="1" ht="30" customHeight="1">
      <c r="A291" s="67" t="s">
        <v>4</v>
      </c>
      <c r="B291" s="44">
        <v>15</v>
      </c>
      <c r="C291" s="44">
        <v>15</v>
      </c>
      <c r="D291" s="44"/>
      <c r="E291" s="49"/>
      <c r="F291" s="49"/>
      <c r="G291" s="49"/>
      <c r="H291" s="49"/>
      <c r="I291" s="391"/>
      <c r="J291" s="80"/>
      <c r="K291" s="215"/>
      <c r="L291" s="158"/>
    </row>
    <row r="292" spans="1:12" s="9" customFormat="1" ht="30" customHeight="1">
      <c r="A292" s="67" t="s">
        <v>368</v>
      </c>
      <c r="B292" s="63">
        <v>6</v>
      </c>
      <c r="C292" s="63">
        <v>6</v>
      </c>
      <c r="D292" s="102"/>
      <c r="E292" s="136"/>
      <c r="F292" s="136"/>
      <c r="G292" s="136"/>
      <c r="H292" s="147"/>
      <c r="I292" s="384"/>
      <c r="K292" s="216"/>
      <c r="L292" s="159"/>
    </row>
    <row r="293" spans="1:12" s="9" customFormat="1" ht="30" customHeight="1">
      <c r="A293" s="435" t="s">
        <v>20</v>
      </c>
      <c r="B293" s="164">
        <v>70</v>
      </c>
      <c r="C293" s="164">
        <v>70</v>
      </c>
      <c r="D293" s="103">
        <v>70</v>
      </c>
      <c r="E293" s="110">
        <v>3.5</v>
      </c>
      <c r="F293" s="110">
        <v>0.9800000000000002</v>
      </c>
      <c r="G293" s="110">
        <v>28.42</v>
      </c>
      <c r="H293" s="141">
        <v>132.85999999999999</v>
      </c>
      <c r="I293" s="360"/>
      <c r="K293" s="217"/>
      <c r="L293" s="158"/>
    </row>
    <row r="294" spans="1:12" s="9" customFormat="1" ht="30" customHeight="1">
      <c r="A294" s="503" t="s">
        <v>80</v>
      </c>
      <c r="B294" s="503"/>
      <c r="C294" s="503"/>
      <c r="D294" s="103">
        <v>70</v>
      </c>
      <c r="E294" s="128"/>
      <c r="F294" s="128"/>
      <c r="G294" s="128"/>
      <c r="H294" s="128"/>
      <c r="I294" s="373"/>
      <c r="K294" s="217"/>
      <c r="L294" s="158"/>
    </row>
    <row r="295" spans="1:9" s="9" customFormat="1" ht="30" customHeight="1">
      <c r="A295" s="434" t="s">
        <v>27</v>
      </c>
      <c r="B295" s="111">
        <v>70</v>
      </c>
      <c r="C295" s="111">
        <v>70</v>
      </c>
      <c r="D295" s="54">
        <v>70</v>
      </c>
      <c r="E295" s="56">
        <v>2.5200000000000005</v>
      </c>
      <c r="F295" s="56">
        <v>0.42</v>
      </c>
      <c r="G295" s="56">
        <v>32.9</v>
      </c>
      <c r="H295" s="55">
        <v>141.82000000000002</v>
      </c>
      <c r="I295" s="374"/>
    </row>
    <row r="296" spans="1:9" s="9" customFormat="1" ht="30" customHeight="1">
      <c r="A296" s="544" t="s">
        <v>24</v>
      </c>
      <c r="B296" s="544"/>
      <c r="C296" s="544"/>
      <c r="D296" s="544"/>
      <c r="E296" s="137">
        <f>+E239+E207</f>
        <v>60.519999999999996</v>
      </c>
      <c r="F296" s="137">
        <f>+F239+F207</f>
        <v>54.6</v>
      </c>
      <c r="G296" s="137">
        <f>+G239+G207</f>
        <v>175.02</v>
      </c>
      <c r="H296" s="137">
        <f>+H239+H207</f>
        <v>1426.2800000000002</v>
      </c>
      <c r="I296" s="393"/>
    </row>
    <row r="297" spans="1:10" s="9" customFormat="1" ht="30" customHeight="1">
      <c r="A297" s="510" t="s">
        <v>46</v>
      </c>
      <c r="B297" s="510"/>
      <c r="C297" s="510"/>
      <c r="D297" s="510"/>
      <c r="E297" s="510"/>
      <c r="F297" s="510"/>
      <c r="G297" s="510"/>
      <c r="H297" s="510"/>
      <c r="I297" s="510"/>
      <c r="J297" s="80"/>
    </row>
    <row r="298" spans="1:10" s="80" customFormat="1" ht="30" customHeight="1">
      <c r="A298" s="513" t="s">
        <v>0</v>
      </c>
      <c r="B298" s="512" t="s">
        <v>6</v>
      </c>
      <c r="C298" s="512" t="s">
        <v>7</v>
      </c>
      <c r="D298" s="513" t="s">
        <v>5</v>
      </c>
      <c r="E298" s="513"/>
      <c r="F298" s="513"/>
      <c r="G298" s="513"/>
      <c r="H298" s="513"/>
      <c r="I298" s="513"/>
      <c r="J298" s="9"/>
    </row>
    <row r="299" spans="1:13" s="80" customFormat="1" ht="30" customHeight="1">
      <c r="A299" s="513"/>
      <c r="B299" s="512"/>
      <c r="C299" s="512"/>
      <c r="D299" s="419" t="s">
        <v>8</v>
      </c>
      <c r="E299" s="418" t="s">
        <v>1</v>
      </c>
      <c r="F299" s="418" t="s">
        <v>2</v>
      </c>
      <c r="G299" s="418" t="s">
        <v>9</v>
      </c>
      <c r="H299" s="417" t="s">
        <v>3</v>
      </c>
      <c r="I299" s="420" t="s">
        <v>211</v>
      </c>
      <c r="M299" s="9"/>
    </row>
    <row r="300" spans="1:13" s="80" customFormat="1" ht="30" customHeight="1">
      <c r="A300" s="516" t="s">
        <v>112</v>
      </c>
      <c r="B300" s="516"/>
      <c r="C300" s="516"/>
      <c r="D300" s="167">
        <f>105+D350+D360+D361</f>
        <v>635</v>
      </c>
      <c r="E300" s="122">
        <f>E301+E350+E360+E361+E364+E365</f>
        <v>21.599999999999998</v>
      </c>
      <c r="F300" s="122">
        <f>F301+F350+F360+F361+F364+F365</f>
        <v>23.88</v>
      </c>
      <c r="G300" s="122">
        <f>G301+G350+G360+G361+G364+G365</f>
        <v>92.62</v>
      </c>
      <c r="H300" s="122">
        <f>H301+H350+H360+H361+H364+H365</f>
        <v>669.86</v>
      </c>
      <c r="I300" s="381"/>
      <c r="J300" s="9"/>
      <c r="M300" s="9"/>
    </row>
    <row r="301" spans="1:10" s="126" customFormat="1" ht="30" customHeight="1">
      <c r="A301" s="502" t="s">
        <v>517</v>
      </c>
      <c r="B301" s="502"/>
      <c r="C301" s="502"/>
      <c r="D301" s="54" t="s">
        <v>35</v>
      </c>
      <c r="E301" s="26">
        <v>15.2</v>
      </c>
      <c r="F301" s="26">
        <v>16.5</v>
      </c>
      <c r="G301" s="26">
        <v>6.8</v>
      </c>
      <c r="H301" s="55">
        <f>G301*4+F301*9+E301*4</f>
        <v>236.5</v>
      </c>
      <c r="I301" s="261" t="s">
        <v>518</v>
      </c>
      <c r="J301" s="9"/>
    </row>
    <row r="302" spans="1:13" s="80" customFormat="1" ht="30" customHeight="1">
      <c r="A302" s="148" t="s">
        <v>134</v>
      </c>
      <c r="B302" s="61">
        <v>108</v>
      </c>
      <c r="C302" s="447">
        <v>47</v>
      </c>
      <c r="D302" s="207"/>
      <c r="E302" s="128"/>
      <c r="F302" s="128"/>
      <c r="G302" s="128"/>
      <c r="H302" s="128"/>
      <c r="I302" s="128"/>
      <c r="J302" s="9"/>
      <c r="K302" s="82" t="s">
        <v>46</v>
      </c>
      <c r="M302" s="9"/>
    </row>
    <row r="303" spans="1:12" s="9" customFormat="1" ht="30" customHeight="1">
      <c r="A303" s="148" t="s">
        <v>158</v>
      </c>
      <c r="B303" s="61">
        <f>C303*1.48</f>
        <v>69.56</v>
      </c>
      <c r="C303" s="447">
        <v>47</v>
      </c>
      <c r="D303" s="207"/>
      <c r="E303" s="200"/>
      <c r="F303" s="128"/>
      <c r="G303" s="128"/>
      <c r="H303" s="201"/>
      <c r="I303" s="29"/>
      <c r="K303" s="347" t="s">
        <v>176</v>
      </c>
      <c r="L303" s="80">
        <f>D416+D364</f>
        <v>70</v>
      </c>
    </row>
    <row r="304" spans="1:12" s="9" customFormat="1" ht="30" customHeight="1">
      <c r="A304" s="148" t="s">
        <v>135</v>
      </c>
      <c r="B304" s="61">
        <f>C304*1.054</f>
        <v>49.538000000000004</v>
      </c>
      <c r="C304" s="447">
        <v>47</v>
      </c>
      <c r="D304" s="207"/>
      <c r="E304" s="128"/>
      <c r="F304" s="128"/>
      <c r="G304" s="128"/>
      <c r="H304" s="128"/>
      <c r="I304" s="128"/>
      <c r="K304" s="347" t="s">
        <v>136</v>
      </c>
      <c r="L304" s="81">
        <f>D414+D365+C399+C394</f>
        <v>88</v>
      </c>
    </row>
    <row r="305" spans="1:12" s="9" customFormat="1" ht="30" customHeight="1">
      <c r="A305" s="67" t="s">
        <v>56</v>
      </c>
      <c r="B305" s="5">
        <v>15</v>
      </c>
      <c r="C305" s="5">
        <v>15</v>
      </c>
      <c r="D305" s="44"/>
      <c r="E305" s="128"/>
      <c r="F305" s="128"/>
      <c r="G305" s="128"/>
      <c r="H305" s="168"/>
      <c r="I305" s="128"/>
      <c r="J305" s="80"/>
      <c r="K305" s="105" t="s">
        <v>162</v>
      </c>
      <c r="L305" s="18">
        <f>C314</f>
        <v>8</v>
      </c>
    </row>
    <row r="306" spans="1:12" s="9" customFormat="1" ht="30" customHeight="1">
      <c r="A306" s="73" t="s">
        <v>41</v>
      </c>
      <c r="B306" s="243">
        <f>B305*460/1000</f>
        <v>6.9</v>
      </c>
      <c r="C306" s="243">
        <f>C305*460/1000</f>
        <v>6.9</v>
      </c>
      <c r="D306" s="194"/>
      <c r="E306" s="56"/>
      <c r="F306" s="56"/>
      <c r="G306" s="56"/>
      <c r="H306" s="55"/>
      <c r="I306" s="128"/>
      <c r="K306" s="347" t="s">
        <v>72</v>
      </c>
      <c r="L306" s="81">
        <f>C403</f>
        <v>45</v>
      </c>
    </row>
    <row r="307" spans="1:13" s="9" customFormat="1" ht="30" customHeight="1">
      <c r="A307" s="73" t="s">
        <v>42</v>
      </c>
      <c r="B307" s="328">
        <f>B305*120/1000</f>
        <v>1.8</v>
      </c>
      <c r="C307" s="328">
        <f>C305*120/1000</f>
        <v>1.8</v>
      </c>
      <c r="D307" s="194"/>
      <c r="E307" s="56"/>
      <c r="F307" s="56"/>
      <c r="G307" s="56"/>
      <c r="H307" s="55"/>
      <c r="I307" s="128"/>
      <c r="J307" s="80"/>
      <c r="K307" s="347" t="s">
        <v>177</v>
      </c>
      <c r="L307" s="18"/>
      <c r="M307" s="80"/>
    </row>
    <row r="308" spans="1:13" s="9" customFormat="1" ht="30" customHeight="1">
      <c r="A308" s="230" t="s">
        <v>156</v>
      </c>
      <c r="B308" s="231">
        <f>B305-B306</f>
        <v>8.1</v>
      </c>
      <c r="C308" s="231">
        <f>C305-C306</f>
        <v>8.1</v>
      </c>
      <c r="D308" s="232"/>
      <c r="E308" s="233"/>
      <c r="F308" s="233"/>
      <c r="G308" s="233"/>
      <c r="H308" s="234"/>
      <c r="I308" s="448"/>
      <c r="J308" s="80"/>
      <c r="K308" s="105" t="s">
        <v>28</v>
      </c>
      <c r="L308" s="18">
        <f>+C379+C351</f>
        <v>191</v>
      </c>
      <c r="M308" s="80"/>
    </row>
    <row r="309" spans="1:12" s="9" customFormat="1" ht="30" customHeight="1">
      <c r="A309" s="230" t="s">
        <v>157</v>
      </c>
      <c r="B309" s="231">
        <f>B305-B307</f>
        <v>13.2</v>
      </c>
      <c r="C309" s="231">
        <f>C305-C307</f>
        <v>13.2</v>
      </c>
      <c r="D309" s="232"/>
      <c r="E309" s="233"/>
      <c r="F309" s="233"/>
      <c r="G309" s="233"/>
      <c r="H309" s="234"/>
      <c r="I309" s="448"/>
      <c r="K309" s="347" t="s">
        <v>353</v>
      </c>
      <c r="L309" s="81">
        <f>C384+C370+C311+C312+C374+C355+C357+C358+C383+C386+C387+C389+C396+C398</f>
        <v>218</v>
      </c>
    </row>
    <row r="310" spans="1:12" s="9" customFormat="1" ht="30" customHeight="1">
      <c r="A310" s="67" t="s">
        <v>88</v>
      </c>
      <c r="B310" s="43">
        <v>9</v>
      </c>
      <c r="C310" s="5">
        <v>9</v>
      </c>
      <c r="D310" s="168"/>
      <c r="E310" s="128"/>
      <c r="F310" s="128"/>
      <c r="G310" s="128"/>
      <c r="H310" s="168"/>
      <c r="I310" s="56"/>
      <c r="K310" s="105" t="s">
        <v>29</v>
      </c>
      <c r="L310" s="18">
        <f>C369+D360</f>
        <v>181</v>
      </c>
    </row>
    <row r="311" spans="1:12" s="9" customFormat="1" ht="30" customHeight="1">
      <c r="A311" s="67" t="s">
        <v>18</v>
      </c>
      <c r="B311" s="43">
        <f>C311*1.19</f>
        <v>11.899999999999999</v>
      </c>
      <c r="C311" s="5">
        <v>10</v>
      </c>
      <c r="D311" s="168"/>
      <c r="E311" s="128"/>
      <c r="F311" s="128"/>
      <c r="G311" s="128"/>
      <c r="H311" s="168"/>
      <c r="I311" s="56"/>
      <c r="K311" s="105" t="s">
        <v>178</v>
      </c>
      <c r="L311" s="80">
        <f>C362</f>
        <v>25</v>
      </c>
    </row>
    <row r="312" spans="1:13" s="9" customFormat="1" ht="30" customHeight="1">
      <c r="A312" s="64" t="s">
        <v>67</v>
      </c>
      <c r="B312" s="43">
        <f>C312*1.25</f>
        <v>47.5</v>
      </c>
      <c r="C312" s="5">
        <v>38</v>
      </c>
      <c r="D312" s="111"/>
      <c r="E312" s="128"/>
      <c r="F312" s="128"/>
      <c r="G312" s="128"/>
      <c r="H312" s="168"/>
      <c r="I312" s="56"/>
      <c r="K312" s="347" t="s">
        <v>354</v>
      </c>
      <c r="L312" s="81">
        <f>B363</f>
        <v>15</v>
      </c>
      <c r="M312" s="80"/>
    </row>
    <row r="313" spans="1:13" s="80" customFormat="1" ht="30" customHeight="1">
      <c r="A313" s="64" t="s">
        <v>16</v>
      </c>
      <c r="B313" s="43">
        <f>C313*1.33</f>
        <v>50.540000000000006</v>
      </c>
      <c r="C313" s="5">
        <v>38</v>
      </c>
      <c r="D313" s="111"/>
      <c r="E313" s="128"/>
      <c r="F313" s="128"/>
      <c r="G313" s="128"/>
      <c r="H313" s="168"/>
      <c r="I313" s="56"/>
      <c r="J313" s="9"/>
      <c r="K313" s="347" t="s">
        <v>395</v>
      </c>
      <c r="L313" s="80">
        <f>D406</f>
        <v>200</v>
      </c>
      <c r="M313" s="9"/>
    </row>
    <row r="314" spans="1:12" s="9" customFormat="1" ht="30" customHeight="1">
      <c r="A314" s="67" t="s">
        <v>21</v>
      </c>
      <c r="B314" s="5">
        <v>8</v>
      </c>
      <c r="C314" s="5">
        <v>8</v>
      </c>
      <c r="D314" s="168"/>
      <c r="E314" s="128"/>
      <c r="F314" s="128"/>
      <c r="G314" s="128"/>
      <c r="H314" s="168"/>
      <c r="I314" s="56"/>
      <c r="K314" s="105" t="s">
        <v>31</v>
      </c>
      <c r="L314" s="80"/>
    </row>
    <row r="315" spans="1:11" s="9" customFormat="1" ht="30" customHeight="1">
      <c r="A315" s="119" t="s">
        <v>62</v>
      </c>
      <c r="B315" s="168">
        <v>10</v>
      </c>
      <c r="C315" s="449" t="s">
        <v>504</v>
      </c>
      <c r="D315" s="207"/>
      <c r="E315" s="128"/>
      <c r="F315" s="128"/>
      <c r="G315" s="128"/>
      <c r="H315" s="128"/>
      <c r="I315" s="128"/>
      <c r="K315" s="105" t="s">
        <v>77</v>
      </c>
    </row>
    <row r="316" spans="1:14" s="9" customFormat="1" ht="30" customHeight="1">
      <c r="A316" s="67" t="s">
        <v>166</v>
      </c>
      <c r="B316" s="5">
        <v>5</v>
      </c>
      <c r="C316" s="5">
        <v>5</v>
      </c>
      <c r="D316" s="168"/>
      <c r="E316" s="128"/>
      <c r="F316" s="128"/>
      <c r="G316" s="128"/>
      <c r="H316" s="168"/>
      <c r="I316" s="56"/>
      <c r="K316" s="347" t="s">
        <v>39</v>
      </c>
      <c r="N316" s="16"/>
    </row>
    <row r="317" spans="1:14" s="9" customFormat="1" ht="30" customHeight="1">
      <c r="A317" s="113" t="s">
        <v>40</v>
      </c>
      <c r="B317" s="111">
        <v>5</v>
      </c>
      <c r="C317" s="111">
        <v>5</v>
      </c>
      <c r="D317" s="371"/>
      <c r="E317" s="128"/>
      <c r="F317" s="128"/>
      <c r="G317" s="128"/>
      <c r="H317" s="168"/>
      <c r="I317" s="373"/>
      <c r="K317" s="105" t="s">
        <v>179</v>
      </c>
      <c r="N317" s="16"/>
    </row>
    <row r="318" spans="1:14" s="126" customFormat="1" ht="30" customHeight="1">
      <c r="A318" s="506" t="s">
        <v>76</v>
      </c>
      <c r="B318" s="506"/>
      <c r="C318" s="506"/>
      <c r="D318" s="506"/>
      <c r="E318" s="506"/>
      <c r="F318" s="506"/>
      <c r="G318" s="506"/>
      <c r="H318" s="506"/>
      <c r="I318" s="506"/>
      <c r="J318" s="9"/>
      <c r="K318" s="105" t="s">
        <v>32</v>
      </c>
      <c r="L318" s="9"/>
      <c r="N318" s="185"/>
    </row>
    <row r="319" spans="1:14" s="156" customFormat="1" ht="30" customHeight="1">
      <c r="A319" s="504" t="s">
        <v>509</v>
      </c>
      <c r="B319" s="505"/>
      <c r="C319" s="505"/>
      <c r="D319" s="24" t="s">
        <v>35</v>
      </c>
      <c r="E319" s="26">
        <v>12.4</v>
      </c>
      <c r="F319" s="26">
        <v>13.2</v>
      </c>
      <c r="G319" s="26">
        <v>10.6</v>
      </c>
      <c r="H319" s="30">
        <f>E319*4+F319*9+G319*4</f>
        <v>210.8</v>
      </c>
      <c r="I319" s="450" t="s">
        <v>474</v>
      </c>
      <c r="J319" s="9"/>
      <c r="K319" s="105" t="s">
        <v>180</v>
      </c>
      <c r="L319" s="18">
        <f>C377+C391+C392</f>
        <v>106</v>
      </c>
      <c r="M319" s="9"/>
      <c r="N319" s="157"/>
    </row>
    <row r="320" spans="1:14" s="9" customFormat="1" ht="30" customHeight="1">
      <c r="A320" s="441" t="s">
        <v>475</v>
      </c>
      <c r="B320" s="61">
        <f>C320*1.17</f>
        <v>29.25</v>
      </c>
      <c r="C320" s="5">
        <v>25</v>
      </c>
      <c r="D320" s="54"/>
      <c r="E320" s="56"/>
      <c r="F320" s="56"/>
      <c r="G320" s="56"/>
      <c r="H320" s="56"/>
      <c r="I320" s="450"/>
      <c r="K320" s="347" t="s">
        <v>182</v>
      </c>
      <c r="L320" s="181">
        <f>C302</f>
        <v>47</v>
      </c>
      <c r="N320" s="16"/>
    </row>
    <row r="321" spans="1:14" s="9" customFormat="1" ht="30" customHeight="1">
      <c r="A321" s="441" t="s">
        <v>476</v>
      </c>
      <c r="B321" s="61">
        <f>C321*1.054</f>
        <v>47.43</v>
      </c>
      <c r="C321" s="75">
        <v>45</v>
      </c>
      <c r="D321" s="54"/>
      <c r="E321" s="56"/>
      <c r="F321" s="56"/>
      <c r="G321" s="56"/>
      <c r="H321" s="56"/>
      <c r="I321" s="193"/>
      <c r="K321" s="105" t="s">
        <v>181</v>
      </c>
      <c r="N321" s="16"/>
    </row>
    <row r="322" spans="1:14" s="9" customFormat="1" ht="30" customHeight="1">
      <c r="A322" s="71" t="s">
        <v>10</v>
      </c>
      <c r="B322" s="115">
        <v>14</v>
      </c>
      <c r="C322" s="115">
        <v>14</v>
      </c>
      <c r="D322" s="54"/>
      <c r="E322" s="49"/>
      <c r="F322" s="49"/>
      <c r="G322" s="49"/>
      <c r="H322" s="45"/>
      <c r="I322" s="451"/>
      <c r="K322" s="347" t="s">
        <v>183</v>
      </c>
      <c r="N322" s="16"/>
    </row>
    <row r="323" spans="1:14" s="80" customFormat="1" ht="30" customHeight="1">
      <c r="A323" s="71" t="s">
        <v>56</v>
      </c>
      <c r="B323" s="75">
        <v>17</v>
      </c>
      <c r="C323" s="75">
        <v>17</v>
      </c>
      <c r="D323" s="54"/>
      <c r="E323" s="49"/>
      <c r="F323" s="49"/>
      <c r="G323" s="49"/>
      <c r="H323" s="44"/>
      <c r="I323" s="452"/>
      <c r="J323" s="9"/>
      <c r="K323" s="352" t="s">
        <v>184</v>
      </c>
      <c r="L323" s="18">
        <f>C305++C395</f>
        <v>27</v>
      </c>
      <c r="M323" s="9"/>
      <c r="N323" s="89"/>
    </row>
    <row r="324" spans="1:12" s="9" customFormat="1" ht="30" customHeight="1">
      <c r="A324" s="73" t="s">
        <v>41</v>
      </c>
      <c r="B324" s="243">
        <f>B323*460/1000</f>
        <v>7.82</v>
      </c>
      <c r="C324" s="243">
        <f>C323*460/1000</f>
        <v>7.82</v>
      </c>
      <c r="D324" s="194"/>
      <c r="E324" s="56"/>
      <c r="F324" s="56"/>
      <c r="G324" s="56"/>
      <c r="H324" s="55"/>
      <c r="I324" s="373"/>
      <c r="K324" s="352" t="s">
        <v>185</v>
      </c>
      <c r="L324" s="18"/>
    </row>
    <row r="325" spans="1:11" s="9" customFormat="1" ht="30" customHeight="1">
      <c r="A325" s="73" t="s">
        <v>42</v>
      </c>
      <c r="B325" s="243">
        <f>B323*120/1000</f>
        <v>2.04</v>
      </c>
      <c r="C325" s="243">
        <f>C323*120/1000</f>
        <v>2.04</v>
      </c>
      <c r="D325" s="194"/>
      <c r="E325" s="56"/>
      <c r="F325" s="56"/>
      <c r="G325" s="56"/>
      <c r="H325" s="55"/>
      <c r="I325" s="373"/>
      <c r="K325" s="347" t="s">
        <v>186</v>
      </c>
    </row>
    <row r="326" spans="1:12" s="9" customFormat="1" ht="40.5" customHeight="1">
      <c r="A326" s="230" t="s">
        <v>156</v>
      </c>
      <c r="B326" s="231">
        <f>B323-B324</f>
        <v>9.18</v>
      </c>
      <c r="C326" s="231">
        <f>C323-C324</f>
        <v>9.18</v>
      </c>
      <c r="D326" s="232"/>
      <c r="E326" s="233"/>
      <c r="F326" s="233"/>
      <c r="G326" s="233"/>
      <c r="H326" s="234"/>
      <c r="I326" s="377"/>
      <c r="K326" s="347" t="s">
        <v>187</v>
      </c>
      <c r="L326" s="18">
        <f>C315+C388</f>
        <v>15</v>
      </c>
    </row>
    <row r="327" spans="1:11" s="9" customFormat="1" ht="30" customHeight="1">
      <c r="A327" s="230" t="s">
        <v>157</v>
      </c>
      <c r="B327" s="231">
        <f>B323-B325</f>
        <v>14.96</v>
      </c>
      <c r="C327" s="231">
        <f>C323-C325</f>
        <v>14.96</v>
      </c>
      <c r="D327" s="232"/>
      <c r="E327" s="233"/>
      <c r="F327" s="233"/>
      <c r="G327" s="233"/>
      <c r="H327" s="234"/>
      <c r="I327" s="377"/>
      <c r="K327" s="347" t="s">
        <v>188</v>
      </c>
    </row>
    <row r="328" spans="1:12" s="9" customFormat="1" ht="30" customHeight="1">
      <c r="A328" s="71" t="s">
        <v>18</v>
      </c>
      <c r="B328" s="115">
        <f>C328*1.19</f>
        <v>35.699999999999996</v>
      </c>
      <c r="C328" s="115">
        <v>30</v>
      </c>
      <c r="D328" s="54"/>
      <c r="E328" s="49"/>
      <c r="F328" s="49"/>
      <c r="G328" s="49"/>
      <c r="H328" s="45"/>
      <c r="I328" s="451"/>
      <c r="K328" s="352" t="s">
        <v>33</v>
      </c>
      <c r="L328" s="18">
        <f>+C385+C405++C317+C359+C401</f>
        <v>31</v>
      </c>
    </row>
    <row r="329" spans="1:12" s="9" customFormat="1" ht="30" customHeight="1">
      <c r="A329" s="71" t="s">
        <v>19</v>
      </c>
      <c r="B329" s="115">
        <v>4</v>
      </c>
      <c r="C329" s="115">
        <v>4</v>
      </c>
      <c r="D329" s="54"/>
      <c r="E329" s="49"/>
      <c r="F329" s="49"/>
      <c r="G329" s="49"/>
      <c r="H329" s="45"/>
      <c r="I329" s="451"/>
      <c r="K329" s="105" t="s">
        <v>34</v>
      </c>
      <c r="L329" s="18">
        <f>C375+C316+C400</f>
        <v>12</v>
      </c>
    </row>
    <row r="330" spans="1:12" s="9" customFormat="1" ht="30" customHeight="1">
      <c r="A330" s="71" t="s">
        <v>119</v>
      </c>
      <c r="B330" s="115"/>
      <c r="C330" s="115">
        <v>15</v>
      </c>
      <c r="D330" s="54"/>
      <c r="E330" s="49"/>
      <c r="F330" s="49"/>
      <c r="G330" s="49"/>
      <c r="H330" s="45"/>
      <c r="I330" s="451"/>
      <c r="K330" s="105" t="s">
        <v>189</v>
      </c>
      <c r="L330" s="18">
        <f>C310+C397</f>
        <v>13</v>
      </c>
    </row>
    <row r="331" spans="1:11" s="9" customFormat="1" ht="30" customHeight="1">
      <c r="A331" s="71" t="s">
        <v>431</v>
      </c>
      <c r="B331" s="115">
        <v>6</v>
      </c>
      <c r="C331" s="115">
        <v>6</v>
      </c>
      <c r="D331" s="54"/>
      <c r="E331" s="49"/>
      <c r="F331" s="49"/>
      <c r="G331" s="49"/>
      <c r="H331" s="45"/>
      <c r="I331" s="451"/>
      <c r="K331" s="105" t="s">
        <v>369</v>
      </c>
    </row>
    <row r="332" spans="1:13" s="9" customFormat="1" ht="30" customHeight="1">
      <c r="A332" s="71" t="s">
        <v>477</v>
      </c>
      <c r="B332" s="115">
        <v>7</v>
      </c>
      <c r="C332" s="115">
        <v>7</v>
      </c>
      <c r="D332" s="54"/>
      <c r="E332" s="49"/>
      <c r="F332" s="49"/>
      <c r="G332" s="49"/>
      <c r="H332" s="45"/>
      <c r="I332" s="451"/>
      <c r="K332" s="105" t="s">
        <v>190</v>
      </c>
      <c r="L332" s="9">
        <v>1.2</v>
      </c>
      <c r="M332" s="80"/>
    </row>
    <row r="333" spans="1:13" s="80" customFormat="1" ht="30" customHeight="1">
      <c r="A333" s="119" t="s">
        <v>166</v>
      </c>
      <c r="B333" s="334">
        <v>2</v>
      </c>
      <c r="C333" s="334">
        <v>2</v>
      </c>
      <c r="D333" s="54"/>
      <c r="E333" s="128"/>
      <c r="F333" s="128"/>
      <c r="G333" s="128"/>
      <c r="H333" s="168"/>
      <c r="I333" s="453"/>
      <c r="J333" s="9"/>
      <c r="K333" s="347" t="s">
        <v>191</v>
      </c>
      <c r="L333" s="9">
        <v>3</v>
      </c>
      <c r="M333" s="9"/>
    </row>
    <row r="334" spans="1:9" s="9" customFormat="1" ht="30" customHeight="1">
      <c r="A334" s="113" t="s">
        <v>40</v>
      </c>
      <c r="B334" s="111">
        <v>5</v>
      </c>
      <c r="C334" s="111">
        <v>5</v>
      </c>
      <c r="D334" s="371"/>
      <c r="E334" s="128"/>
      <c r="F334" s="128"/>
      <c r="G334" s="128"/>
      <c r="H334" s="168"/>
      <c r="I334" s="373"/>
    </row>
    <row r="335" spans="1:9" s="9" customFormat="1" ht="30" customHeight="1">
      <c r="A335" s="506" t="s">
        <v>76</v>
      </c>
      <c r="B335" s="506"/>
      <c r="C335" s="506"/>
      <c r="D335" s="506"/>
      <c r="E335" s="506"/>
      <c r="F335" s="506"/>
      <c r="G335" s="506"/>
      <c r="H335" s="506"/>
      <c r="I335" s="506"/>
    </row>
    <row r="336" spans="1:13" s="9" customFormat="1" ht="30" customHeight="1">
      <c r="A336" s="509" t="s">
        <v>400</v>
      </c>
      <c r="B336" s="509"/>
      <c r="C336" s="509"/>
      <c r="D336" s="22" t="s">
        <v>35</v>
      </c>
      <c r="E336" s="56">
        <v>14.8</v>
      </c>
      <c r="F336" s="56">
        <v>13.9</v>
      </c>
      <c r="G336" s="56">
        <v>12</v>
      </c>
      <c r="H336" s="55">
        <f>G336*4+F336*9+E336*4</f>
        <v>232.3</v>
      </c>
      <c r="I336" s="260" t="s">
        <v>246</v>
      </c>
      <c r="M336" s="80"/>
    </row>
    <row r="337" spans="1:13" s="9" customFormat="1" ht="30" customHeight="1">
      <c r="A337" s="65" t="s">
        <v>90</v>
      </c>
      <c r="B337" s="33">
        <f>C337*1.36</f>
        <v>100.64</v>
      </c>
      <c r="C337" s="5">
        <v>74</v>
      </c>
      <c r="D337" s="44"/>
      <c r="E337" s="128"/>
      <c r="F337" s="128"/>
      <c r="G337" s="128"/>
      <c r="H337" s="128"/>
      <c r="I337" s="373"/>
      <c r="J337" s="80"/>
      <c r="M337" s="80"/>
    </row>
    <row r="338" spans="1:13" s="9" customFormat="1" ht="30" customHeight="1">
      <c r="A338" s="65" t="s">
        <v>91</v>
      </c>
      <c r="B338" s="33">
        <f>C338*1.18</f>
        <v>87.32</v>
      </c>
      <c r="C338" s="5">
        <f>C337</f>
        <v>74</v>
      </c>
      <c r="D338" s="213"/>
      <c r="E338" s="38"/>
      <c r="F338" s="38"/>
      <c r="G338" s="38"/>
      <c r="H338" s="144"/>
      <c r="I338" s="379"/>
      <c r="J338" s="80"/>
      <c r="M338" s="80"/>
    </row>
    <row r="339" spans="1:13" s="9" customFormat="1" ht="30" customHeight="1">
      <c r="A339" s="64" t="s">
        <v>10</v>
      </c>
      <c r="B339" s="5">
        <v>18</v>
      </c>
      <c r="C339" s="5">
        <v>18</v>
      </c>
      <c r="D339" s="142"/>
      <c r="E339" s="331"/>
      <c r="F339" s="331"/>
      <c r="G339" s="331"/>
      <c r="H339" s="331"/>
      <c r="I339" s="374"/>
      <c r="M339" s="80"/>
    </row>
    <row r="340" spans="1:10" s="9" customFormat="1" ht="30" customHeight="1">
      <c r="A340" s="113" t="s">
        <v>249</v>
      </c>
      <c r="B340" s="111">
        <v>12</v>
      </c>
      <c r="C340" s="111">
        <v>12</v>
      </c>
      <c r="D340" s="371"/>
      <c r="E340" s="331"/>
      <c r="F340" s="128"/>
      <c r="G340" s="128"/>
      <c r="H340" s="168"/>
      <c r="I340" s="373"/>
      <c r="J340" s="80"/>
    </row>
    <row r="341" spans="1:10" s="9" customFormat="1" ht="30" customHeight="1">
      <c r="A341" s="73" t="s">
        <v>41</v>
      </c>
      <c r="B341" s="243">
        <f>B340*460/1000</f>
        <v>5.52</v>
      </c>
      <c r="C341" s="243">
        <f>C340*460/1000</f>
        <v>5.52</v>
      </c>
      <c r="D341" s="194"/>
      <c r="E341" s="56"/>
      <c r="F341" s="56"/>
      <c r="G341" s="56"/>
      <c r="H341" s="55"/>
      <c r="I341" s="373"/>
      <c r="J341" s="156"/>
    </row>
    <row r="342" spans="1:10" s="9" customFormat="1" ht="30" customHeight="1">
      <c r="A342" s="73" t="s">
        <v>42</v>
      </c>
      <c r="B342" s="243">
        <f>B340*120/1000</f>
        <v>1.44</v>
      </c>
      <c r="C342" s="243">
        <f>C340*120/1000</f>
        <v>1.44</v>
      </c>
      <c r="D342" s="194"/>
      <c r="E342" s="56"/>
      <c r="F342" s="56"/>
      <c r="G342" s="56"/>
      <c r="H342" s="55"/>
      <c r="I342" s="373"/>
      <c r="J342" s="80"/>
    </row>
    <row r="343" spans="1:10" s="9" customFormat="1" ht="39.75" customHeight="1">
      <c r="A343" s="230" t="s">
        <v>156</v>
      </c>
      <c r="B343" s="231">
        <f>B340-B341</f>
        <v>6.48</v>
      </c>
      <c r="C343" s="231">
        <f>C340-C341</f>
        <v>6.48</v>
      </c>
      <c r="D343" s="232"/>
      <c r="E343" s="233"/>
      <c r="F343" s="233"/>
      <c r="G343" s="233"/>
      <c r="H343" s="234"/>
      <c r="I343" s="377"/>
      <c r="J343" s="80"/>
    </row>
    <row r="344" spans="1:10" s="9" customFormat="1" ht="30" customHeight="1">
      <c r="A344" s="230" t="s">
        <v>157</v>
      </c>
      <c r="B344" s="231">
        <f>B340-B342</f>
        <v>10.56</v>
      </c>
      <c r="C344" s="231">
        <f>C340-C342</f>
        <v>10.56</v>
      </c>
      <c r="D344" s="232"/>
      <c r="E344" s="233"/>
      <c r="F344" s="233"/>
      <c r="G344" s="233"/>
      <c r="H344" s="234"/>
      <c r="I344" s="377"/>
      <c r="J344" s="80"/>
    </row>
    <row r="345" spans="1:10" s="9" customFormat="1" ht="30" customHeight="1">
      <c r="A345" s="67" t="s">
        <v>18</v>
      </c>
      <c r="B345" s="45">
        <f>C345*1.19</f>
        <v>9.52</v>
      </c>
      <c r="C345" s="44">
        <v>8</v>
      </c>
      <c r="D345" s="142"/>
      <c r="E345" s="331"/>
      <c r="F345" s="128"/>
      <c r="G345" s="128"/>
      <c r="H345" s="168"/>
      <c r="I345" s="373"/>
      <c r="J345" s="80"/>
    </row>
    <row r="346" spans="1:13" s="80" customFormat="1" ht="30" customHeight="1">
      <c r="A346" s="72" t="s">
        <v>88</v>
      </c>
      <c r="B346" s="205">
        <v>4</v>
      </c>
      <c r="C346" s="205">
        <v>4</v>
      </c>
      <c r="D346" s="221"/>
      <c r="E346" s="49"/>
      <c r="F346" s="49"/>
      <c r="G346" s="49"/>
      <c r="H346" s="45"/>
      <c r="I346" s="391"/>
      <c r="M346" s="9"/>
    </row>
    <row r="347" spans="1:10" s="9" customFormat="1" ht="30" customHeight="1">
      <c r="A347" s="72" t="s">
        <v>171</v>
      </c>
      <c r="B347" s="205">
        <v>10</v>
      </c>
      <c r="C347" s="205">
        <v>10</v>
      </c>
      <c r="D347" s="221"/>
      <c r="E347" s="49"/>
      <c r="F347" s="49"/>
      <c r="G347" s="49"/>
      <c r="H347" s="45"/>
      <c r="I347" s="391"/>
      <c r="J347" s="80"/>
    </row>
    <row r="348" spans="1:10" s="126" customFormat="1" ht="30" customHeight="1">
      <c r="A348" s="67" t="s">
        <v>11</v>
      </c>
      <c r="B348" s="5">
        <v>2</v>
      </c>
      <c r="C348" s="5">
        <v>2</v>
      </c>
      <c r="D348" s="142"/>
      <c r="E348" s="331"/>
      <c r="F348" s="128"/>
      <c r="G348" s="128"/>
      <c r="H348" s="168"/>
      <c r="I348" s="373"/>
      <c r="J348" s="80"/>
    </row>
    <row r="349" spans="1:10" s="9" customFormat="1" ht="30" customHeight="1">
      <c r="A349" s="113" t="s">
        <v>40</v>
      </c>
      <c r="B349" s="111">
        <v>5</v>
      </c>
      <c r="C349" s="111">
        <v>5</v>
      </c>
      <c r="D349" s="371"/>
      <c r="E349" s="128"/>
      <c r="F349" s="128"/>
      <c r="G349" s="128"/>
      <c r="H349" s="168"/>
      <c r="I349" s="373"/>
      <c r="J349" s="80"/>
    </row>
    <row r="350" spans="1:9" s="9" customFormat="1" ht="30" customHeight="1">
      <c r="A350" s="508" t="s">
        <v>436</v>
      </c>
      <c r="B350" s="508"/>
      <c r="C350" s="508"/>
      <c r="D350" s="47">
        <v>180</v>
      </c>
      <c r="E350" s="110">
        <v>3.6</v>
      </c>
      <c r="F350" s="110">
        <v>6.9</v>
      </c>
      <c r="G350" s="110">
        <v>31</v>
      </c>
      <c r="H350" s="141">
        <f>G350*4+F350*9+E350*4</f>
        <v>200.5</v>
      </c>
      <c r="I350" s="360" t="s">
        <v>437</v>
      </c>
    </row>
    <row r="351" spans="1:10" s="9" customFormat="1" ht="30" customHeight="1">
      <c r="A351" s="66" t="s">
        <v>12</v>
      </c>
      <c r="B351" s="25">
        <f>C351*1.33</f>
        <v>203.49</v>
      </c>
      <c r="C351" s="25">
        <v>153</v>
      </c>
      <c r="D351" s="28"/>
      <c r="E351" s="133"/>
      <c r="F351" s="133"/>
      <c r="G351" s="133"/>
      <c r="H351" s="133"/>
      <c r="I351" s="382"/>
      <c r="J351" s="80"/>
    </row>
    <row r="352" spans="1:9" s="9" customFormat="1" ht="30" customHeight="1">
      <c r="A352" s="66" t="s">
        <v>13</v>
      </c>
      <c r="B352" s="25">
        <f>C352*1.43</f>
        <v>218.79</v>
      </c>
      <c r="C352" s="25">
        <v>153</v>
      </c>
      <c r="D352" s="28"/>
      <c r="E352" s="133"/>
      <c r="F352" s="133"/>
      <c r="G352" s="133"/>
      <c r="H352" s="165"/>
      <c r="I352" s="382"/>
    </row>
    <row r="353" spans="1:9" s="9" customFormat="1" ht="30" customHeight="1">
      <c r="A353" s="66" t="s">
        <v>14</v>
      </c>
      <c r="B353" s="25">
        <f>C353*1.54</f>
        <v>235.62</v>
      </c>
      <c r="C353" s="25">
        <v>153</v>
      </c>
      <c r="D353" s="28"/>
      <c r="E353" s="133"/>
      <c r="F353" s="110"/>
      <c r="G353" s="110"/>
      <c r="H353" s="141"/>
      <c r="I353" s="382"/>
    </row>
    <row r="354" spans="1:10" s="9" customFormat="1" ht="30" customHeight="1">
      <c r="A354" s="66" t="s">
        <v>15</v>
      </c>
      <c r="B354" s="25">
        <f>C354*1.67</f>
        <v>255.51</v>
      </c>
      <c r="C354" s="25">
        <v>153</v>
      </c>
      <c r="D354" s="28"/>
      <c r="E354" s="133"/>
      <c r="F354" s="110"/>
      <c r="G354" s="110"/>
      <c r="H354" s="141"/>
      <c r="I354" s="382"/>
      <c r="J354" s="82"/>
    </row>
    <row r="355" spans="1:9" s="9" customFormat="1" ht="30" customHeight="1">
      <c r="A355" s="454" t="s">
        <v>67</v>
      </c>
      <c r="B355" s="39">
        <f>C355*1.25</f>
        <v>25</v>
      </c>
      <c r="C355" s="39">
        <v>20</v>
      </c>
      <c r="D355" s="28"/>
      <c r="E355" s="133"/>
      <c r="F355" s="133"/>
      <c r="G355" s="133"/>
      <c r="H355" s="165"/>
      <c r="I355" s="360"/>
    </row>
    <row r="356" spans="1:13" s="80" customFormat="1" ht="30" customHeight="1">
      <c r="A356" s="454" t="s">
        <v>16</v>
      </c>
      <c r="B356" s="176">
        <f>C356*1.33</f>
        <v>26.6</v>
      </c>
      <c r="C356" s="39">
        <v>20</v>
      </c>
      <c r="D356" s="28"/>
      <c r="E356" s="133"/>
      <c r="F356" s="133"/>
      <c r="G356" s="133"/>
      <c r="H356" s="165"/>
      <c r="I356" s="360"/>
      <c r="M356" s="9"/>
    </row>
    <row r="357" spans="1:10" s="9" customFormat="1" ht="30" customHeight="1">
      <c r="A357" s="454" t="s">
        <v>18</v>
      </c>
      <c r="B357" s="25">
        <f>C357*1.19</f>
        <v>33.32</v>
      </c>
      <c r="C357" s="39">
        <v>28</v>
      </c>
      <c r="D357" s="28"/>
      <c r="E357" s="133"/>
      <c r="F357" s="133"/>
      <c r="G357" s="133"/>
      <c r="H357" s="165"/>
      <c r="I357" s="360"/>
      <c r="J357" s="80"/>
    </row>
    <row r="358" spans="1:10" s="9" customFormat="1" ht="39.75" customHeight="1">
      <c r="A358" s="359" t="s">
        <v>58</v>
      </c>
      <c r="B358" s="23">
        <v>10</v>
      </c>
      <c r="C358" s="39">
        <v>10</v>
      </c>
      <c r="D358" s="28"/>
      <c r="E358" s="133"/>
      <c r="F358" s="133"/>
      <c r="G358" s="133"/>
      <c r="H358" s="165"/>
      <c r="I358" s="360"/>
      <c r="J358" s="80"/>
    </row>
    <row r="359" spans="1:10" s="9" customFormat="1" ht="30" customHeight="1">
      <c r="A359" s="177" t="s">
        <v>19</v>
      </c>
      <c r="B359" s="165">
        <v>10</v>
      </c>
      <c r="C359" s="165">
        <v>10</v>
      </c>
      <c r="D359" s="28"/>
      <c r="E359" s="133"/>
      <c r="F359" s="133"/>
      <c r="G359" s="133"/>
      <c r="H359" s="165"/>
      <c r="I359" s="382"/>
      <c r="J359" s="80"/>
    </row>
    <row r="360" spans="1:9" s="9" customFormat="1" ht="30" customHeight="1">
      <c r="A360" s="502" t="s">
        <v>232</v>
      </c>
      <c r="B360" s="502"/>
      <c r="C360" s="502"/>
      <c r="D360" s="31">
        <v>150</v>
      </c>
      <c r="E360" s="32">
        <v>0.2</v>
      </c>
      <c r="F360" s="32">
        <v>0</v>
      </c>
      <c r="G360" s="32">
        <v>8.6</v>
      </c>
      <c r="H360" s="201">
        <f>E360*4+F360*9+G360*4</f>
        <v>35.199999999999996</v>
      </c>
      <c r="I360" s="261" t="s">
        <v>233</v>
      </c>
    </row>
    <row r="361" spans="1:9" s="9" customFormat="1" ht="30" customHeight="1">
      <c r="A361" s="511" t="s">
        <v>305</v>
      </c>
      <c r="B361" s="511"/>
      <c r="C361" s="511"/>
      <c r="D361" s="31">
        <v>200</v>
      </c>
      <c r="E361" s="32">
        <v>0.9</v>
      </c>
      <c r="F361" s="32">
        <v>0</v>
      </c>
      <c r="G361" s="32">
        <v>28.7</v>
      </c>
      <c r="H361" s="55">
        <f>G361*4+F361*9+E361*4</f>
        <v>118.39999999999999</v>
      </c>
      <c r="I361" s="260" t="s">
        <v>528</v>
      </c>
    </row>
    <row r="362" spans="1:9" s="9" customFormat="1" ht="30" customHeight="1">
      <c r="A362" s="67" t="s">
        <v>132</v>
      </c>
      <c r="B362" s="44">
        <v>25</v>
      </c>
      <c r="C362" s="44">
        <v>25</v>
      </c>
      <c r="D362" s="44"/>
      <c r="E362" s="49"/>
      <c r="F362" s="49"/>
      <c r="G362" s="49"/>
      <c r="H362" s="49"/>
      <c r="I362" s="391"/>
    </row>
    <row r="363" spans="1:9" s="9" customFormat="1" ht="30" customHeight="1">
      <c r="A363" s="67" t="s">
        <v>4</v>
      </c>
      <c r="B363" s="44">
        <v>15</v>
      </c>
      <c r="C363" s="44">
        <v>15</v>
      </c>
      <c r="D363" s="44"/>
      <c r="E363" s="49"/>
      <c r="F363" s="49"/>
      <c r="G363" s="49"/>
      <c r="H363" s="49"/>
      <c r="I363" s="391"/>
    </row>
    <row r="364" spans="1:9" s="9" customFormat="1" ht="30" customHeight="1">
      <c r="A364" s="434" t="s">
        <v>27</v>
      </c>
      <c r="B364" s="111">
        <v>20</v>
      </c>
      <c r="C364" s="111">
        <v>20</v>
      </c>
      <c r="D364" s="24">
        <v>20</v>
      </c>
      <c r="E364" s="26">
        <v>0.7</v>
      </c>
      <c r="F364" s="26">
        <v>0.2</v>
      </c>
      <c r="G364" s="26">
        <v>9.4</v>
      </c>
      <c r="H364" s="30">
        <v>41.3</v>
      </c>
      <c r="I364" s="374"/>
    </row>
    <row r="365" spans="1:9" s="9" customFormat="1" ht="30" customHeight="1">
      <c r="A365" s="435" t="s">
        <v>20</v>
      </c>
      <c r="B365" s="164">
        <v>20</v>
      </c>
      <c r="C365" s="164">
        <v>20</v>
      </c>
      <c r="D365" s="103">
        <v>20</v>
      </c>
      <c r="E365" s="110">
        <v>1</v>
      </c>
      <c r="F365" s="110">
        <v>0.2800000000000001</v>
      </c>
      <c r="G365" s="110">
        <v>8.120000000000001</v>
      </c>
      <c r="H365" s="141">
        <v>37.96</v>
      </c>
      <c r="I365" s="360"/>
    </row>
    <row r="366" spans="1:27" s="9" customFormat="1" ht="30" customHeight="1">
      <c r="A366" s="503" t="s">
        <v>80</v>
      </c>
      <c r="B366" s="503"/>
      <c r="C366" s="503"/>
      <c r="D366" s="103">
        <v>20</v>
      </c>
      <c r="E366" s="128"/>
      <c r="F366" s="128"/>
      <c r="G366" s="128"/>
      <c r="H366" s="128"/>
      <c r="I366" s="373"/>
      <c r="X366" s="185"/>
      <c r="Y366" s="185"/>
      <c r="Z366" s="185"/>
      <c r="AA366" s="185"/>
    </row>
    <row r="367" spans="1:27" s="9" customFormat="1" ht="30" customHeight="1">
      <c r="A367" s="516" t="s">
        <v>63</v>
      </c>
      <c r="B367" s="516"/>
      <c r="C367" s="516"/>
      <c r="D367" s="167">
        <f>D368+275+D402+D406+105</f>
        <v>860</v>
      </c>
      <c r="E367" s="51">
        <f>E368+E376+E402+E408+E414+E416+E390</f>
        <v>29.939999999999998</v>
      </c>
      <c r="F367" s="51">
        <f>F368+F376+F402+F408+F414+F416+F390</f>
        <v>36.260000000000005</v>
      </c>
      <c r="G367" s="51">
        <f>G368+G376+G402+G408+G414+G416+G390</f>
        <v>123.32000000000001</v>
      </c>
      <c r="H367" s="51">
        <f>H368+H376+H402+H408+H414+H416+H390</f>
        <v>936.18</v>
      </c>
      <c r="I367" s="395"/>
      <c r="P367" s="558"/>
      <c r="Q367" s="558"/>
      <c r="R367" s="558"/>
      <c r="S367" s="268"/>
      <c r="T367" s="212"/>
      <c r="U367" s="212"/>
      <c r="V367" s="212"/>
      <c r="W367" s="269"/>
      <c r="X367" s="343"/>
      <c r="Y367" s="342"/>
      <c r="Z367" s="364"/>
      <c r="AA367" s="185"/>
    </row>
    <row r="368" spans="1:31" s="80" customFormat="1" ht="36" customHeight="1">
      <c r="A368" s="504" t="s">
        <v>519</v>
      </c>
      <c r="B368" s="554"/>
      <c r="C368" s="554"/>
      <c r="D368" s="24">
        <v>100</v>
      </c>
      <c r="E368" s="56">
        <v>2.6</v>
      </c>
      <c r="F368" s="110">
        <v>6.8</v>
      </c>
      <c r="G368" s="110">
        <v>6.2</v>
      </c>
      <c r="H368" s="55">
        <v>98</v>
      </c>
      <c r="I368" s="413" t="s">
        <v>435</v>
      </c>
      <c r="J368" s="9"/>
      <c r="M368" s="9"/>
      <c r="P368" s="270"/>
      <c r="Q368" s="84"/>
      <c r="R368" s="84"/>
      <c r="S368" s="84"/>
      <c r="T368" s="271"/>
      <c r="U368" s="271"/>
      <c r="V368" s="271"/>
      <c r="W368" s="271"/>
      <c r="X368" s="343"/>
      <c r="Y368" s="342"/>
      <c r="Z368" s="364"/>
      <c r="AA368" s="185"/>
      <c r="AB368" s="9"/>
      <c r="AC368" s="9"/>
      <c r="AD368" s="9"/>
      <c r="AE368" s="9"/>
    </row>
    <row r="369" spans="1:27" s="9" customFormat="1" ht="36.75" customHeight="1">
      <c r="A369" s="71" t="s">
        <v>154</v>
      </c>
      <c r="B369" s="43">
        <f>C369*1.43</f>
        <v>44.33</v>
      </c>
      <c r="C369" s="44">
        <v>31</v>
      </c>
      <c r="D369" s="24"/>
      <c r="E369" s="56"/>
      <c r="F369" s="56"/>
      <c r="G369" s="56"/>
      <c r="H369" s="56"/>
      <c r="I369" s="374"/>
      <c r="P369" s="272"/>
      <c r="Q369" s="365"/>
      <c r="R369" s="186"/>
      <c r="S369" s="366"/>
      <c r="T369" s="367"/>
      <c r="U369" s="367"/>
      <c r="V369" s="367"/>
      <c r="W369" s="366"/>
      <c r="X369" s="343"/>
      <c r="Y369" s="342"/>
      <c r="Z369" s="364"/>
      <c r="AA369" s="185"/>
    </row>
    <row r="370" spans="1:27" s="9" customFormat="1" ht="30" customHeight="1">
      <c r="A370" s="64" t="s">
        <v>17</v>
      </c>
      <c r="B370" s="43">
        <f>C370*1.25</f>
        <v>70</v>
      </c>
      <c r="C370" s="35">
        <v>56</v>
      </c>
      <c r="D370" s="95"/>
      <c r="E370" s="128"/>
      <c r="F370" s="110"/>
      <c r="G370" s="110"/>
      <c r="H370" s="141"/>
      <c r="I370" s="373"/>
      <c r="P370" s="272"/>
      <c r="Q370" s="273"/>
      <c r="R370" s="186"/>
      <c r="S370" s="186"/>
      <c r="T370" s="273"/>
      <c r="U370" s="273"/>
      <c r="V370" s="273"/>
      <c r="W370" s="365"/>
      <c r="X370" s="344"/>
      <c r="Y370" s="342"/>
      <c r="Z370" s="364"/>
      <c r="AA370" s="185"/>
    </row>
    <row r="371" spans="1:27" s="9" customFormat="1" ht="30" customHeight="1">
      <c r="A371" s="64" t="s">
        <v>16</v>
      </c>
      <c r="B371" s="43">
        <f>C371*1.33</f>
        <v>74.48</v>
      </c>
      <c r="C371" s="35">
        <v>56</v>
      </c>
      <c r="D371" s="95"/>
      <c r="E371" s="128"/>
      <c r="F371" s="110"/>
      <c r="G371" s="110"/>
      <c r="H371" s="141"/>
      <c r="I371" s="373"/>
      <c r="P371" s="274"/>
      <c r="Q371" s="275"/>
      <c r="R371" s="84"/>
      <c r="S371" s="84"/>
      <c r="T371" s="276"/>
      <c r="U371" s="276"/>
      <c r="V371" s="276"/>
      <c r="W371" s="275"/>
      <c r="X371" s="344"/>
      <c r="Y371" s="345"/>
      <c r="Z371" s="364"/>
      <c r="AA371" s="185"/>
    </row>
    <row r="372" spans="1:31" s="80" customFormat="1" ht="30" customHeight="1">
      <c r="A372" s="166" t="s">
        <v>170</v>
      </c>
      <c r="B372" s="43"/>
      <c r="C372" s="35">
        <v>53</v>
      </c>
      <c r="D372" s="95"/>
      <c r="E372" s="128"/>
      <c r="F372" s="110"/>
      <c r="G372" s="110"/>
      <c r="H372" s="141"/>
      <c r="I372" s="373"/>
      <c r="J372" s="9"/>
      <c r="P372" s="272"/>
      <c r="Q372" s="186"/>
      <c r="R372" s="186"/>
      <c r="S372" s="186"/>
      <c r="T372" s="273"/>
      <c r="U372" s="273"/>
      <c r="V372" s="273"/>
      <c r="W372" s="186"/>
      <c r="X372" s="344"/>
      <c r="Y372" s="346"/>
      <c r="Z372" s="364"/>
      <c r="AA372" s="185"/>
      <c r="AB372" s="9"/>
      <c r="AC372" s="9"/>
      <c r="AD372" s="9"/>
      <c r="AE372" s="9"/>
    </row>
    <row r="373" spans="1:27" s="126" customFormat="1" ht="30" customHeight="1">
      <c r="A373" s="64" t="s">
        <v>66</v>
      </c>
      <c r="B373" s="43">
        <v>12</v>
      </c>
      <c r="C373" s="35">
        <v>10.5</v>
      </c>
      <c r="D373" s="95"/>
      <c r="E373" s="128"/>
      <c r="F373" s="110"/>
      <c r="G373" s="110"/>
      <c r="H373" s="141"/>
      <c r="I373" s="373"/>
      <c r="J373" s="9"/>
      <c r="X373" s="185"/>
      <c r="Y373" s="185"/>
      <c r="Z373" s="185"/>
      <c r="AA373" s="185"/>
    </row>
    <row r="374" spans="1:13" s="80" customFormat="1" ht="30" customHeight="1">
      <c r="A374" s="71" t="s">
        <v>128</v>
      </c>
      <c r="B374" s="43">
        <f>C374*1.28</f>
        <v>1.024</v>
      </c>
      <c r="C374" s="35">
        <v>0.8</v>
      </c>
      <c r="D374" s="95"/>
      <c r="E374" s="128"/>
      <c r="F374" s="110"/>
      <c r="G374" s="110"/>
      <c r="H374" s="141"/>
      <c r="I374" s="373"/>
      <c r="J374" s="9"/>
      <c r="M374" s="9"/>
    </row>
    <row r="375" spans="1:9" s="9" customFormat="1" ht="30" customHeight="1">
      <c r="A375" s="67" t="s">
        <v>145</v>
      </c>
      <c r="B375" s="44">
        <v>5</v>
      </c>
      <c r="C375" s="44">
        <v>5</v>
      </c>
      <c r="D375" s="46"/>
      <c r="E375" s="49"/>
      <c r="F375" s="40"/>
      <c r="G375" s="40"/>
      <c r="H375" s="139"/>
      <c r="I375" s="391"/>
    </row>
    <row r="376" spans="1:13" s="9" customFormat="1" ht="42" customHeight="1">
      <c r="A376" s="507" t="s">
        <v>520</v>
      </c>
      <c r="B376" s="507"/>
      <c r="C376" s="507"/>
      <c r="D376" s="22" t="s">
        <v>511</v>
      </c>
      <c r="E376" s="56">
        <v>4.5</v>
      </c>
      <c r="F376" s="56">
        <v>8.9</v>
      </c>
      <c r="G376" s="56">
        <v>12.5</v>
      </c>
      <c r="H376" s="55">
        <f>E376*4+F376*9+G376*4</f>
        <v>148.10000000000002</v>
      </c>
      <c r="I376" s="374" t="s">
        <v>438</v>
      </c>
      <c r="M376" s="80"/>
    </row>
    <row r="377" spans="1:13" s="19" customFormat="1" ht="30" customHeight="1">
      <c r="A377" s="441" t="s">
        <v>90</v>
      </c>
      <c r="B377" s="33">
        <f>C377*1.36</f>
        <v>43.52</v>
      </c>
      <c r="C377" s="43">
        <v>32</v>
      </c>
      <c r="D377" s="95"/>
      <c r="E377" s="128"/>
      <c r="F377" s="128"/>
      <c r="G377" s="128"/>
      <c r="H377" s="168"/>
      <c r="I377" s="374"/>
      <c r="J377" s="9"/>
      <c r="M377" s="80"/>
    </row>
    <row r="378" spans="1:13" s="19" customFormat="1" ht="30" customHeight="1">
      <c r="A378" s="441" t="s">
        <v>91</v>
      </c>
      <c r="B378" s="33">
        <f>C378*1.18</f>
        <v>37.76</v>
      </c>
      <c r="C378" s="43">
        <v>32</v>
      </c>
      <c r="D378" s="95"/>
      <c r="E378" s="128"/>
      <c r="F378" s="128"/>
      <c r="G378" s="128"/>
      <c r="H378" s="168"/>
      <c r="I378" s="374"/>
      <c r="J378" s="9"/>
      <c r="M378" s="80"/>
    </row>
    <row r="379" spans="1:13" s="19" customFormat="1" ht="30" customHeight="1">
      <c r="A379" s="64" t="s">
        <v>12</v>
      </c>
      <c r="B379" s="43">
        <f>C379*1.33</f>
        <v>50.540000000000006</v>
      </c>
      <c r="C379" s="45">
        <v>38</v>
      </c>
      <c r="D379" s="46"/>
      <c r="E379" s="128"/>
      <c r="F379" s="128"/>
      <c r="G379" s="128"/>
      <c r="H379" s="111"/>
      <c r="I379" s="56"/>
      <c r="J379" s="9"/>
      <c r="M379" s="80"/>
    </row>
    <row r="380" spans="1:13" s="19" customFormat="1" ht="30" customHeight="1">
      <c r="A380" s="64" t="s">
        <v>13</v>
      </c>
      <c r="B380" s="43">
        <f>C380*1.43</f>
        <v>54.339999999999996</v>
      </c>
      <c r="C380" s="45">
        <v>38</v>
      </c>
      <c r="D380" s="46"/>
      <c r="E380" s="128"/>
      <c r="F380" s="128"/>
      <c r="G380" s="128"/>
      <c r="H380" s="111"/>
      <c r="I380" s="56"/>
      <c r="J380" s="9"/>
      <c r="M380" s="9"/>
    </row>
    <row r="381" spans="1:13" s="19" customFormat="1" ht="30" customHeight="1">
      <c r="A381" s="67" t="s">
        <v>14</v>
      </c>
      <c r="B381" s="43">
        <f>C381*1.54</f>
        <v>58.52</v>
      </c>
      <c r="C381" s="45">
        <v>38</v>
      </c>
      <c r="D381" s="46"/>
      <c r="E381" s="128"/>
      <c r="F381" s="128"/>
      <c r="G381" s="128"/>
      <c r="H381" s="111"/>
      <c r="I381" s="56"/>
      <c r="J381" s="80"/>
      <c r="M381" s="9"/>
    </row>
    <row r="382" spans="1:13" s="2" customFormat="1" ht="30" customHeight="1">
      <c r="A382" s="67" t="s">
        <v>15</v>
      </c>
      <c r="B382" s="43">
        <f>C382*1.67</f>
        <v>63.459999999999994</v>
      </c>
      <c r="C382" s="45">
        <v>38</v>
      </c>
      <c r="D382" s="46"/>
      <c r="E382" s="128"/>
      <c r="F382" s="128"/>
      <c r="G382" s="128"/>
      <c r="H382" s="111"/>
      <c r="I382" s="56"/>
      <c r="J382" s="80"/>
      <c r="M382" s="9"/>
    </row>
    <row r="383" spans="1:13" s="2" customFormat="1" ht="30" customHeight="1">
      <c r="A383" s="64" t="s">
        <v>439</v>
      </c>
      <c r="B383" s="43">
        <f>C383*1.82</f>
        <v>27.3</v>
      </c>
      <c r="C383" s="5">
        <v>15</v>
      </c>
      <c r="D383" s="5"/>
      <c r="E383" s="128"/>
      <c r="F383" s="128"/>
      <c r="G383" s="128"/>
      <c r="H383" s="168"/>
      <c r="I383" s="374"/>
      <c r="J383" s="80"/>
      <c r="M383" s="9"/>
    </row>
    <row r="384" spans="1:13" s="2" customFormat="1" ht="30" customHeight="1">
      <c r="A384" s="64" t="s">
        <v>18</v>
      </c>
      <c r="B384" s="45">
        <f>C384*1.19</f>
        <v>21.419999999999998</v>
      </c>
      <c r="C384" s="5">
        <v>18</v>
      </c>
      <c r="D384" s="5"/>
      <c r="E384" s="128"/>
      <c r="F384" s="128"/>
      <c r="G384" s="128"/>
      <c r="H384" s="168"/>
      <c r="I384" s="374"/>
      <c r="J384" s="80"/>
      <c r="M384" s="9"/>
    </row>
    <row r="385" spans="1:13" s="2" customFormat="1" ht="30" customHeight="1">
      <c r="A385" s="67" t="s">
        <v>19</v>
      </c>
      <c r="B385" s="43">
        <v>5</v>
      </c>
      <c r="C385" s="43">
        <v>5</v>
      </c>
      <c r="D385" s="5"/>
      <c r="E385" s="128"/>
      <c r="F385" s="128"/>
      <c r="G385" s="128"/>
      <c r="H385" s="168"/>
      <c r="I385" s="374"/>
      <c r="J385" s="80"/>
      <c r="M385" s="9"/>
    </row>
    <row r="386" spans="1:13" s="2" customFormat="1" ht="30" customHeight="1">
      <c r="A386" s="67" t="s">
        <v>440</v>
      </c>
      <c r="B386" s="43">
        <f>1.54*C386</f>
        <v>15.4</v>
      </c>
      <c r="C386" s="43">
        <v>10</v>
      </c>
      <c r="D386" s="5"/>
      <c r="E386" s="128"/>
      <c r="F386" s="128"/>
      <c r="G386" s="128"/>
      <c r="H386" s="168"/>
      <c r="I386" s="374"/>
      <c r="J386" s="80"/>
      <c r="M386" s="9"/>
    </row>
    <row r="387" spans="1:13" s="2" customFormat="1" ht="40.5" customHeight="1">
      <c r="A387" s="71" t="s">
        <v>58</v>
      </c>
      <c r="B387" s="43">
        <v>3</v>
      </c>
      <c r="C387" s="43">
        <v>3</v>
      </c>
      <c r="D387" s="44"/>
      <c r="E387" s="128"/>
      <c r="F387" s="128"/>
      <c r="G387" s="128"/>
      <c r="H387" s="111"/>
      <c r="I387" s="56"/>
      <c r="J387" s="9"/>
      <c r="M387" s="9"/>
    </row>
    <row r="388" spans="1:13" s="2" customFormat="1" ht="30" customHeight="1">
      <c r="A388" s="72" t="s">
        <v>62</v>
      </c>
      <c r="B388" s="43">
        <v>5</v>
      </c>
      <c r="C388" s="43">
        <v>5</v>
      </c>
      <c r="D388" s="44"/>
      <c r="E388" s="128"/>
      <c r="F388" s="128"/>
      <c r="G388" s="128"/>
      <c r="H388" s="111"/>
      <c r="I388" s="56"/>
      <c r="J388" s="9"/>
      <c r="M388" s="80"/>
    </row>
    <row r="389" spans="1:13" s="2" customFormat="1" ht="30" customHeight="1">
      <c r="A389" s="67" t="s">
        <v>78</v>
      </c>
      <c r="B389" s="48">
        <v>0.2</v>
      </c>
      <c r="C389" s="48">
        <v>0.2</v>
      </c>
      <c r="D389" s="37"/>
      <c r="E389" s="38"/>
      <c r="F389" s="38"/>
      <c r="G389" s="38"/>
      <c r="H389" s="144"/>
      <c r="I389" s="379"/>
      <c r="J389" s="9"/>
      <c r="M389" s="9"/>
    </row>
    <row r="390" spans="1:13" s="2" customFormat="1" ht="30" customHeight="1">
      <c r="A390" s="504" t="s">
        <v>510</v>
      </c>
      <c r="B390" s="504"/>
      <c r="C390" s="504"/>
      <c r="D390" s="24" t="s">
        <v>35</v>
      </c>
      <c r="E390" s="26">
        <v>13.2</v>
      </c>
      <c r="F390" s="26">
        <v>13.9</v>
      </c>
      <c r="G390" s="26">
        <v>12</v>
      </c>
      <c r="H390" s="30">
        <f>E390*4+F390*9+G390*4</f>
        <v>225.9</v>
      </c>
      <c r="I390" s="260" t="s">
        <v>507</v>
      </c>
      <c r="J390" s="9"/>
      <c r="M390" s="9"/>
    </row>
    <row r="391" spans="1:13" s="2" customFormat="1" ht="30" customHeight="1">
      <c r="A391" s="441" t="s">
        <v>475</v>
      </c>
      <c r="B391" s="61">
        <f>C391*1.17</f>
        <v>43.29</v>
      </c>
      <c r="C391" s="168">
        <v>37</v>
      </c>
      <c r="D391" s="24"/>
      <c r="E391" s="26"/>
      <c r="F391" s="26"/>
      <c r="G391" s="26"/>
      <c r="H391" s="30"/>
      <c r="I391" s="260"/>
      <c r="J391" s="9"/>
      <c r="M391" s="9"/>
    </row>
    <row r="392" spans="1:13" s="2" customFormat="1" ht="30" customHeight="1">
      <c r="A392" s="441" t="s">
        <v>90</v>
      </c>
      <c r="B392" s="61">
        <f>C392*1.36</f>
        <v>50.32</v>
      </c>
      <c r="C392" s="168">
        <v>37</v>
      </c>
      <c r="D392" s="44"/>
      <c r="E392" s="438"/>
      <c r="F392" s="438"/>
      <c r="G392" s="438"/>
      <c r="H392" s="45"/>
      <c r="I392" s="49"/>
      <c r="J392" s="80"/>
      <c r="M392" s="9"/>
    </row>
    <row r="393" spans="1:13" s="2" customFormat="1" ht="30" customHeight="1">
      <c r="A393" s="441" t="s">
        <v>91</v>
      </c>
      <c r="B393" s="61">
        <f>C393*1.18</f>
        <v>43.66</v>
      </c>
      <c r="C393" s="168">
        <v>37</v>
      </c>
      <c r="D393" s="44"/>
      <c r="E393" s="49"/>
      <c r="F393" s="49"/>
      <c r="G393" s="49"/>
      <c r="H393" s="45"/>
      <c r="I393" s="262"/>
      <c r="J393" s="80"/>
      <c r="M393" s="9"/>
    </row>
    <row r="394" spans="1:13" s="19" customFormat="1" ht="30" customHeight="1">
      <c r="A394" s="177" t="s">
        <v>10</v>
      </c>
      <c r="B394" s="111">
        <v>18</v>
      </c>
      <c r="C394" s="111">
        <v>18</v>
      </c>
      <c r="D394" s="44"/>
      <c r="E394" s="49"/>
      <c r="F394" s="49"/>
      <c r="G394" s="49"/>
      <c r="H394" s="45"/>
      <c r="I394" s="262"/>
      <c r="J394" s="9"/>
      <c r="M394" s="9"/>
    </row>
    <row r="395" spans="1:13" s="2" customFormat="1" ht="30" customHeight="1">
      <c r="A395" s="113" t="s">
        <v>508</v>
      </c>
      <c r="B395" s="111">
        <v>12</v>
      </c>
      <c r="C395" s="111">
        <v>12</v>
      </c>
      <c r="D395" s="44"/>
      <c r="E395" s="49"/>
      <c r="F395" s="49"/>
      <c r="G395" s="49"/>
      <c r="H395" s="45"/>
      <c r="I395" s="262"/>
      <c r="J395" s="9"/>
      <c r="M395" s="9"/>
    </row>
    <row r="396" spans="1:13" s="2" customFormat="1" ht="30" customHeight="1">
      <c r="A396" s="178" t="s">
        <v>18</v>
      </c>
      <c r="B396" s="133">
        <f>C396*1.19</f>
        <v>9.52</v>
      </c>
      <c r="C396" s="455">
        <v>8</v>
      </c>
      <c r="D396" s="44"/>
      <c r="E396" s="49"/>
      <c r="F396" s="49"/>
      <c r="G396" s="49"/>
      <c r="H396" s="45"/>
      <c r="I396" s="262"/>
      <c r="J396" s="9"/>
      <c r="M396" s="9"/>
    </row>
    <row r="397" spans="1:13" s="80" customFormat="1" ht="30" customHeight="1">
      <c r="A397" s="71" t="s">
        <v>431</v>
      </c>
      <c r="B397" s="168">
        <v>4</v>
      </c>
      <c r="C397" s="168">
        <v>4</v>
      </c>
      <c r="D397" s="44"/>
      <c r="E397" s="49"/>
      <c r="F397" s="49"/>
      <c r="G397" s="49"/>
      <c r="H397" s="45"/>
      <c r="I397" s="262"/>
      <c r="J397" s="9"/>
      <c r="K397" s="9"/>
      <c r="L397" s="9"/>
      <c r="M397" s="9"/>
    </row>
    <row r="398" spans="1:13" s="80" customFormat="1" ht="30" customHeight="1">
      <c r="A398" s="119" t="s">
        <v>128</v>
      </c>
      <c r="B398" s="128">
        <f>C398*1.28</f>
        <v>1.28</v>
      </c>
      <c r="C398" s="111">
        <v>1</v>
      </c>
      <c r="D398" s="24"/>
      <c r="E398" s="26"/>
      <c r="F398" s="49"/>
      <c r="G398" s="49"/>
      <c r="H398" s="45"/>
      <c r="I398" s="456"/>
      <c r="J398" s="94"/>
      <c r="K398" s="216"/>
      <c r="L398" s="158"/>
      <c r="M398" s="9"/>
    </row>
    <row r="399" spans="1:13" s="80" customFormat="1" ht="30" customHeight="1">
      <c r="A399" s="72" t="s">
        <v>171</v>
      </c>
      <c r="B399" s="205">
        <v>10</v>
      </c>
      <c r="C399" s="205">
        <v>10</v>
      </c>
      <c r="D399" s="221"/>
      <c r="E399" s="49"/>
      <c r="F399" s="49"/>
      <c r="G399" s="49"/>
      <c r="H399" s="45"/>
      <c r="I399" s="49"/>
      <c r="K399" s="215"/>
      <c r="L399" s="369"/>
      <c r="M399" s="9"/>
    </row>
    <row r="400" spans="1:13" s="80" customFormat="1" ht="30" customHeight="1">
      <c r="A400" s="178" t="s">
        <v>11</v>
      </c>
      <c r="B400" s="165">
        <v>2</v>
      </c>
      <c r="C400" s="455">
        <v>2</v>
      </c>
      <c r="D400" s="44"/>
      <c r="E400" s="49"/>
      <c r="F400" s="49"/>
      <c r="G400" s="49"/>
      <c r="H400" s="45"/>
      <c r="I400" s="262"/>
      <c r="J400" s="9"/>
      <c r="K400" s="215"/>
      <c r="L400" s="16"/>
      <c r="M400" s="9"/>
    </row>
    <row r="401" spans="1:12" s="80" customFormat="1" ht="30" customHeight="1">
      <c r="A401" s="67" t="s">
        <v>40</v>
      </c>
      <c r="B401" s="44">
        <v>5</v>
      </c>
      <c r="C401" s="44">
        <v>5</v>
      </c>
      <c r="D401" s="457"/>
      <c r="E401" s="49"/>
      <c r="F401" s="49"/>
      <c r="G401" s="49"/>
      <c r="H401" s="45"/>
      <c r="I401" s="458"/>
      <c r="J401" s="9"/>
      <c r="K401" s="216"/>
      <c r="L401" s="158"/>
    </row>
    <row r="402" spans="1:13" s="80" customFormat="1" ht="30" customHeight="1">
      <c r="A402" s="508" t="s">
        <v>327</v>
      </c>
      <c r="B402" s="508"/>
      <c r="C402" s="508"/>
      <c r="D402" s="47">
        <v>180</v>
      </c>
      <c r="E402" s="56">
        <v>5.64</v>
      </c>
      <c r="F402" s="56">
        <v>5.76</v>
      </c>
      <c r="G402" s="54">
        <v>24.720000000000002</v>
      </c>
      <c r="H402" s="55">
        <f>G402*4+F402*9+E402*4</f>
        <v>173.28</v>
      </c>
      <c r="I402" s="374" t="s">
        <v>328</v>
      </c>
      <c r="K402" s="216"/>
      <c r="L402" s="158"/>
      <c r="M402" s="9"/>
    </row>
    <row r="403" spans="1:12" s="9" customFormat="1" ht="30" customHeight="1">
      <c r="A403" s="67" t="s">
        <v>84</v>
      </c>
      <c r="B403" s="45">
        <v>45</v>
      </c>
      <c r="C403" s="45">
        <v>45</v>
      </c>
      <c r="D403" s="44"/>
      <c r="E403" s="111"/>
      <c r="F403" s="111"/>
      <c r="G403" s="111"/>
      <c r="H403" s="168"/>
      <c r="I403" s="373"/>
      <c r="J403" s="80"/>
      <c r="K403" s="216"/>
      <c r="L403" s="158"/>
    </row>
    <row r="404" spans="1:9" s="9" customFormat="1" ht="30" customHeight="1">
      <c r="A404" s="67" t="s">
        <v>69</v>
      </c>
      <c r="B404" s="45">
        <v>145</v>
      </c>
      <c r="C404" s="45">
        <v>145</v>
      </c>
      <c r="D404" s="44"/>
      <c r="E404" s="111"/>
      <c r="F404" s="111"/>
      <c r="G404" s="111"/>
      <c r="H404" s="168"/>
      <c r="I404" s="373"/>
    </row>
    <row r="405" spans="1:9" s="9" customFormat="1" ht="30" customHeight="1">
      <c r="A405" s="177" t="s">
        <v>19</v>
      </c>
      <c r="B405" s="165">
        <v>6</v>
      </c>
      <c r="C405" s="165">
        <v>6</v>
      </c>
      <c r="D405" s="111"/>
      <c r="E405" s="111"/>
      <c r="F405" s="111"/>
      <c r="G405" s="111"/>
      <c r="H405" s="168"/>
      <c r="I405" s="373"/>
    </row>
    <row r="406" spans="1:10" s="9" customFormat="1" ht="30" customHeight="1">
      <c r="A406" s="242" t="s">
        <v>523</v>
      </c>
      <c r="B406" s="54">
        <v>200</v>
      </c>
      <c r="C406" s="54">
        <v>200</v>
      </c>
      <c r="D406" s="54">
        <v>200</v>
      </c>
      <c r="E406" s="56">
        <v>0.5</v>
      </c>
      <c r="F406" s="56">
        <v>0.1</v>
      </c>
      <c r="G406" s="56">
        <v>28</v>
      </c>
      <c r="H406" s="55">
        <f>G406*4+F406*9+E406*4</f>
        <v>114.9</v>
      </c>
      <c r="I406" s="261" t="s">
        <v>237</v>
      </c>
      <c r="J406" s="80"/>
    </row>
    <row r="407" spans="1:10" s="9" customFormat="1" ht="30" customHeight="1">
      <c r="A407" s="506" t="s">
        <v>76</v>
      </c>
      <c r="B407" s="506"/>
      <c r="C407" s="506"/>
      <c r="D407" s="506"/>
      <c r="E407" s="506"/>
      <c r="F407" s="506"/>
      <c r="G407" s="506"/>
      <c r="H407" s="506"/>
      <c r="I407" s="506"/>
      <c r="J407" s="80"/>
    </row>
    <row r="408" spans="1:9" s="9" customFormat="1" ht="30" customHeight="1">
      <c r="A408" s="504" t="s">
        <v>360</v>
      </c>
      <c r="B408" s="504"/>
      <c r="C408" s="504"/>
      <c r="D408" s="24">
        <v>200</v>
      </c>
      <c r="E408" s="26">
        <v>0.2</v>
      </c>
      <c r="F408" s="26">
        <v>0</v>
      </c>
      <c r="G408" s="26">
        <v>28.2</v>
      </c>
      <c r="H408" s="247">
        <f>G408*4+F408*9+E408*4</f>
        <v>113.6</v>
      </c>
      <c r="I408" s="261" t="s">
        <v>238</v>
      </c>
    </row>
    <row r="409" spans="1:9" s="9" customFormat="1" ht="30" customHeight="1">
      <c r="A409" s="71" t="s">
        <v>165</v>
      </c>
      <c r="B409" s="63">
        <f>C409*1.14</f>
        <v>34.199999999999996</v>
      </c>
      <c r="C409" s="28">
        <v>30</v>
      </c>
      <c r="D409" s="24"/>
      <c r="E409" s="26"/>
      <c r="F409" s="26"/>
      <c r="G409" s="26"/>
      <c r="H409" s="30"/>
      <c r="I409" s="383"/>
    </row>
    <row r="410" spans="1:13" s="9" customFormat="1" ht="30" customHeight="1">
      <c r="A410" s="66" t="s">
        <v>173</v>
      </c>
      <c r="B410" s="77">
        <f>C410*1.06</f>
        <v>10.600000000000001</v>
      </c>
      <c r="C410" s="28">
        <v>10</v>
      </c>
      <c r="D410" s="24"/>
      <c r="E410" s="26"/>
      <c r="F410" s="26"/>
      <c r="G410" s="26"/>
      <c r="H410" s="30"/>
      <c r="I410" s="383"/>
      <c r="M410" s="80"/>
    </row>
    <row r="411" spans="1:13" s="80" customFormat="1" ht="30" customHeight="1">
      <c r="A411" s="100" t="s">
        <v>358</v>
      </c>
      <c r="B411" s="77">
        <f>C411*1.06</f>
        <v>10.600000000000001</v>
      </c>
      <c r="C411" s="28">
        <v>10</v>
      </c>
      <c r="D411" s="102"/>
      <c r="E411" s="358"/>
      <c r="F411" s="136"/>
      <c r="G411" s="136"/>
      <c r="H411" s="147"/>
      <c r="I411" s="384"/>
      <c r="J411" s="9"/>
      <c r="K411" s="9"/>
      <c r="L411" s="9"/>
      <c r="M411" s="9"/>
    </row>
    <row r="412" spans="1:12" s="126" customFormat="1" ht="30" customHeight="1">
      <c r="A412" s="100" t="s">
        <v>359</v>
      </c>
      <c r="B412" s="77">
        <f>C412*1.11</f>
        <v>11.100000000000001</v>
      </c>
      <c r="C412" s="28">
        <v>10</v>
      </c>
      <c r="D412" s="102"/>
      <c r="E412" s="358"/>
      <c r="F412" s="136"/>
      <c r="G412" s="136"/>
      <c r="H412" s="147"/>
      <c r="I412" s="384"/>
      <c r="J412" s="9"/>
      <c r="K412" s="9"/>
      <c r="L412" s="9"/>
    </row>
    <row r="413" spans="1:9" s="9" customFormat="1" ht="30" customHeight="1">
      <c r="A413" s="67" t="s">
        <v>4</v>
      </c>
      <c r="B413" s="28">
        <v>20</v>
      </c>
      <c r="C413" s="28">
        <v>20</v>
      </c>
      <c r="D413" s="24"/>
      <c r="E413" s="26"/>
      <c r="F413" s="26"/>
      <c r="G413" s="26"/>
      <c r="H413" s="30"/>
      <c r="I413" s="260"/>
    </row>
    <row r="414" spans="1:13" s="9" customFormat="1" ht="30" customHeight="1">
      <c r="A414" s="435" t="s">
        <v>20</v>
      </c>
      <c r="B414" s="164">
        <v>40</v>
      </c>
      <c r="C414" s="164">
        <v>40</v>
      </c>
      <c r="D414" s="103">
        <v>40</v>
      </c>
      <c r="E414" s="110">
        <v>2</v>
      </c>
      <c r="F414" s="110">
        <v>0.6</v>
      </c>
      <c r="G414" s="110">
        <v>16.2</v>
      </c>
      <c r="H414" s="141">
        <v>76</v>
      </c>
      <c r="I414" s="360"/>
      <c r="L414" s="16"/>
      <c r="M414" s="80"/>
    </row>
    <row r="415" spans="1:12" s="9" customFormat="1" ht="30" customHeight="1">
      <c r="A415" s="503" t="s">
        <v>80</v>
      </c>
      <c r="B415" s="503"/>
      <c r="C415" s="503"/>
      <c r="D415" s="103">
        <v>40</v>
      </c>
      <c r="E415" s="128"/>
      <c r="F415" s="128"/>
      <c r="G415" s="128"/>
      <c r="H415" s="128"/>
      <c r="I415" s="373"/>
      <c r="L415" s="277"/>
    </row>
    <row r="416" spans="1:12" s="9" customFormat="1" ht="30" customHeight="1">
      <c r="A416" s="434" t="s">
        <v>27</v>
      </c>
      <c r="B416" s="111">
        <v>50</v>
      </c>
      <c r="C416" s="111">
        <v>50</v>
      </c>
      <c r="D416" s="54">
        <v>50</v>
      </c>
      <c r="E416" s="56">
        <v>1.8</v>
      </c>
      <c r="F416" s="56">
        <v>0.3</v>
      </c>
      <c r="G416" s="56">
        <v>23.5</v>
      </c>
      <c r="H416" s="55">
        <v>101.30000000000001</v>
      </c>
      <c r="I416" s="374"/>
      <c r="J416" s="80"/>
      <c r="L416" s="278"/>
    </row>
    <row r="417" spans="1:12" s="9" customFormat="1" ht="30" customHeight="1">
      <c r="A417" s="544" t="s">
        <v>24</v>
      </c>
      <c r="B417" s="544"/>
      <c r="C417" s="544"/>
      <c r="D417" s="544"/>
      <c r="E417" s="137">
        <f>+E367+E300</f>
        <v>51.53999999999999</v>
      </c>
      <c r="F417" s="137">
        <f>+F367+F300</f>
        <v>60.14</v>
      </c>
      <c r="G417" s="137">
        <f>+G367+G300</f>
        <v>215.94</v>
      </c>
      <c r="H417" s="137">
        <f>+H367+H300</f>
        <v>1606.04</v>
      </c>
      <c r="I417" s="393" t="s">
        <v>131</v>
      </c>
      <c r="J417" s="80"/>
      <c r="L417" s="277"/>
    </row>
    <row r="418" spans="1:12" s="9" customFormat="1" ht="30" customHeight="1">
      <c r="A418" s="510" t="s">
        <v>47</v>
      </c>
      <c r="B418" s="510"/>
      <c r="C418" s="510"/>
      <c r="D418" s="510"/>
      <c r="E418" s="510"/>
      <c r="F418" s="510"/>
      <c r="G418" s="510"/>
      <c r="H418" s="510"/>
      <c r="I418" s="510"/>
      <c r="J418" s="80"/>
      <c r="L418" s="279"/>
    </row>
    <row r="419" spans="1:10" s="9" customFormat="1" ht="30" customHeight="1">
      <c r="A419" s="513" t="s">
        <v>0</v>
      </c>
      <c r="B419" s="512" t="s">
        <v>6</v>
      </c>
      <c r="C419" s="512" t="s">
        <v>7</v>
      </c>
      <c r="D419" s="513" t="s">
        <v>5</v>
      </c>
      <c r="E419" s="513"/>
      <c r="F419" s="513"/>
      <c r="G419" s="513"/>
      <c r="H419" s="513"/>
      <c r="I419" s="513"/>
      <c r="J419" s="80"/>
    </row>
    <row r="420" spans="1:13" s="80" customFormat="1" ht="30" customHeight="1">
      <c r="A420" s="513"/>
      <c r="B420" s="512"/>
      <c r="C420" s="512"/>
      <c r="D420" s="419" t="s">
        <v>8</v>
      </c>
      <c r="E420" s="418" t="s">
        <v>1</v>
      </c>
      <c r="F420" s="418" t="s">
        <v>2</v>
      </c>
      <c r="G420" s="418" t="s">
        <v>9</v>
      </c>
      <c r="H420" s="417" t="s">
        <v>3</v>
      </c>
      <c r="I420" s="420" t="s">
        <v>211</v>
      </c>
      <c r="J420" s="9"/>
      <c r="K420" s="9"/>
      <c r="L420" s="9"/>
      <c r="M420" s="9"/>
    </row>
    <row r="421" spans="1:12" s="80" customFormat="1" ht="30" customHeight="1">
      <c r="A421" s="516" t="s">
        <v>112</v>
      </c>
      <c r="B421" s="516"/>
      <c r="C421" s="516"/>
      <c r="D421" s="140">
        <f>D432+D422+D429+D436</f>
        <v>550</v>
      </c>
      <c r="E421" s="122">
        <f>E432+E422+E429+E439+E440+E436</f>
        <v>18.25</v>
      </c>
      <c r="F421" s="122">
        <f>F432+F422+F429+F439+F440+F436</f>
        <v>16.5</v>
      </c>
      <c r="G421" s="122">
        <f>G432+G422+G429+G439+G440+G436</f>
        <v>81.05</v>
      </c>
      <c r="H421" s="122">
        <f>H432+H422+H429+H439+H440+H436</f>
        <v>549.85</v>
      </c>
      <c r="I421" s="381"/>
      <c r="J421" s="9"/>
      <c r="K421" s="9"/>
      <c r="L421" s="9"/>
    </row>
    <row r="422" spans="1:13" s="9" customFormat="1" ht="30" customHeight="1">
      <c r="A422" s="503" t="s">
        <v>349</v>
      </c>
      <c r="B422" s="503"/>
      <c r="C422" s="503"/>
      <c r="D422" s="24">
        <v>100</v>
      </c>
      <c r="E422" s="56">
        <v>10.4</v>
      </c>
      <c r="F422" s="56">
        <v>9.2</v>
      </c>
      <c r="G422" s="56">
        <v>4</v>
      </c>
      <c r="H422" s="55">
        <f>E422*4+F422*9+G422*4</f>
        <v>140.4</v>
      </c>
      <c r="I422" s="261" t="s">
        <v>236</v>
      </c>
      <c r="M422" s="80"/>
    </row>
    <row r="423" spans="1:10" s="126" customFormat="1" ht="30" customHeight="1">
      <c r="A423" s="65" t="s">
        <v>90</v>
      </c>
      <c r="B423" s="33">
        <f>C423*1.36</f>
        <v>107.44000000000001</v>
      </c>
      <c r="C423" s="45">
        <v>79</v>
      </c>
      <c r="D423" s="44"/>
      <c r="E423" s="128"/>
      <c r="F423" s="128"/>
      <c r="G423" s="128"/>
      <c r="H423" s="168"/>
      <c r="I423" s="374"/>
      <c r="J423" s="9"/>
    </row>
    <row r="424" spans="1:9" s="9" customFormat="1" ht="30" customHeight="1">
      <c r="A424" s="65" t="s">
        <v>91</v>
      </c>
      <c r="B424" s="33">
        <f>C424*1.18</f>
        <v>93.22</v>
      </c>
      <c r="C424" s="5">
        <f>C423</f>
        <v>79</v>
      </c>
      <c r="D424" s="213"/>
      <c r="E424" s="38"/>
      <c r="F424" s="38"/>
      <c r="G424" s="38"/>
      <c r="H424" s="144"/>
      <c r="I424" s="379"/>
    </row>
    <row r="425" spans="1:10" s="9" customFormat="1" ht="30" customHeight="1">
      <c r="A425" s="67" t="s">
        <v>11</v>
      </c>
      <c r="B425" s="45">
        <v>4.5</v>
      </c>
      <c r="C425" s="45">
        <v>4.5</v>
      </c>
      <c r="D425" s="213"/>
      <c r="E425" s="38"/>
      <c r="F425" s="38"/>
      <c r="G425" s="38"/>
      <c r="H425" s="144"/>
      <c r="I425" s="379"/>
      <c r="J425" s="1"/>
    </row>
    <row r="426" spans="1:13" s="9" customFormat="1" ht="30" customHeight="1">
      <c r="A426" s="67" t="s">
        <v>18</v>
      </c>
      <c r="B426" s="45">
        <f>C426*1.19</f>
        <v>11.899999999999999</v>
      </c>
      <c r="C426" s="44">
        <v>10</v>
      </c>
      <c r="D426" s="213"/>
      <c r="E426" s="38"/>
      <c r="F426" s="38"/>
      <c r="G426" s="38"/>
      <c r="H426" s="144"/>
      <c r="I426" s="379"/>
      <c r="J426" s="1"/>
      <c r="M426" s="80"/>
    </row>
    <row r="427" spans="1:13" s="9" customFormat="1" ht="31.5" customHeight="1">
      <c r="A427" s="72" t="s">
        <v>58</v>
      </c>
      <c r="B427" s="44">
        <v>4</v>
      </c>
      <c r="C427" s="44">
        <v>4</v>
      </c>
      <c r="D427" s="44"/>
      <c r="E427" s="128"/>
      <c r="F427" s="128"/>
      <c r="G427" s="128"/>
      <c r="H427" s="168"/>
      <c r="I427" s="374"/>
      <c r="J427" s="345"/>
      <c r="M427" s="80"/>
    </row>
    <row r="428" spans="1:13" s="9" customFormat="1" ht="30" customHeight="1">
      <c r="A428" s="67" t="s">
        <v>21</v>
      </c>
      <c r="B428" s="44">
        <v>2.5</v>
      </c>
      <c r="C428" s="44">
        <v>2.5</v>
      </c>
      <c r="D428" s="44"/>
      <c r="E428" s="128"/>
      <c r="F428" s="56"/>
      <c r="G428" s="56"/>
      <c r="H428" s="55"/>
      <c r="I428" s="374"/>
      <c r="J428" s="345"/>
      <c r="M428" s="126"/>
    </row>
    <row r="429" spans="1:10" s="9" customFormat="1" ht="30" customHeight="1">
      <c r="A429" s="522" t="s">
        <v>252</v>
      </c>
      <c r="B429" s="522"/>
      <c r="C429" s="522"/>
      <c r="D429" s="47">
        <v>180</v>
      </c>
      <c r="E429" s="116">
        <v>4.9</v>
      </c>
      <c r="F429" s="116">
        <v>6.6</v>
      </c>
      <c r="G429" s="116">
        <v>39.9</v>
      </c>
      <c r="H429" s="169">
        <f>E429*4+F429*9+G429*4</f>
        <v>238.6</v>
      </c>
      <c r="I429" s="374" t="s">
        <v>253</v>
      </c>
      <c r="J429" s="342"/>
    </row>
    <row r="430" spans="1:10" s="9" customFormat="1" ht="30" customHeight="1">
      <c r="A430" s="66" t="s">
        <v>503</v>
      </c>
      <c r="B430" s="25">
        <v>65</v>
      </c>
      <c r="C430" s="25">
        <v>65</v>
      </c>
      <c r="D430" s="332"/>
      <c r="E430" s="333"/>
      <c r="F430" s="333"/>
      <c r="G430" s="333"/>
      <c r="H430" s="333"/>
      <c r="I430" s="392"/>
      <c r="J430" s="345"/>
    </row>
    <row r="431" spans="1:10" s="9" customFormat="1" ht="30" customHeight="1">
      <c r="A431" s="177" t="s">
        <v>19</v>
      </c>
      <c r="B431" s="164">
        <v>6</v>
      </c>
      <c r="C431" s="164">
        <v>6</v>
      </c>
      <c r="D431" s="182"/>
      <c r="E431" s="133"/>
      <c r="F431" s="133"/>
      <c r="G431" s="133"/>
      <c r="H431" s="133"/>
      <c r="I431" s="382"/>
      <c r="J431" s="345"/>
    </row>
    <row r="432" spans="1:10" s="9" customFormat="1" ht="30" customHeight="1">
      <c r="A432" s="502" t="s">
        <v>408</v>
      </c>
      <c r="B432" s="502"/>
      <c r="C432" s="502"/>
      <c r="D432" s="54">
        <v>70</v>
      </c>
      <c r="E432" s="56">
        <v>0.7</v>
      </c>
      <c r="F432" s="56">
        <v>0.2</v>
      </c>
      <c r="G432" s="56">
        <v>2.8</v>
      </c>
      <c r="H432" s="169">
        <f>E432*4+F432*9+G432*4</f>
        <v>15.799999999999999</v>
      </c>
      <c r="I432" s="261" t="s">
        <v>239</v>
      </c>
      <c r="J432" s="342"/>
    </row>
    <row r="433" spans="1:10" s="126" customFormat="1" ht="30" customHeight="1">
      <c r="A433" s="119" t="s">
        <v>102</v>
      </c>
      <c r="B433" s="45">
        <f>C433*1.02</f>
        <v>71.4</v>
      </c>
      <c r="C433" s="75">
        <v>70</v>
      </c>
      <c r="D433" s="74"/>
      <c r="E433" s="103"/>
      <c r="F433" s="103"/>
      <c r="G433" s="103"/>
      <c r="H433" s="103"/>
      <c r="I433" s="436"/>
      <c r="J433" s="345"/>
    </row>
    <row r="434" spans="1:10" s="9" customFormat="1" ht="30" customHeight="1">
      <c r="A434" s="67" t="s">
        <v>103</v>
      </c>
      <c r="B434" s="45">
        <f>C434*1.18</f>
        <v>82.6</v>
      </c>
      <c r="C434" s="75">
        <v>70</v>
      </c>
      <c r="D434" s="74"/>
      <c r="E434" s="103"/>
      <c r="F434" s="103"/>
      <c r="G434" s="103"/>
      <c r="H434" s="103"/>
      <c r="I434" s="386"/>
      <c r="J434" s="342"/>
    </row>
    <row r="435" spans="1:10" s="9" customFormat="1" ht="30" customHeight="1">
      <c r="A435" s="67" t="s">
        <v>117</v>
      </c>
      <c r="B435" s="45">
        <f>C435*1.82</f>
        <v>127.4</v>
      </c>
      <c r="C435" s="75">
        <v>70</v>
      </c>
      <c r="D435" s="74"/>
      <c r="E435" s="103"/>
      <c r="F435" s="103"/>
      <c r="G435" s="103"/>
      <c r="H435" s="103"/>
      <c r="I435" s="386"/>
      <c r="J435" s="342"/>
    </row>
    <row r="436" spans="1:10" s="9" customFormat="1" ht="30" customHeight="1">
      <c r="A436" s="503" t="s">
        <v>243</v>
      </c>
      <c r="B436" s="503"/>
      <c r="C436" s="503"/>
      <c r="D436" s="55">
        <v>200</v>
      </c>
      <c r="E436" s="56">
        <v>0.2</v>
      </c>
      <c r="F436" s="56">
        <v>0</v>
      </c>
      <c r="G436" s="56">
        <v>11.9</v>
      </c>
      <c r="H436" s="55">
        <v>53</v>
      </c>
      <c r="I436" s="374" t="s">
        <v>242</v>
      </c>
      <c r="J436" s="345"/>
    </row>
    <row r="437" spans="1:10" s="9" customFormat="1" ht="30" customHeight="1">
      <c r="A437" s="67" t="s">
        <v>26</v>
      </c>
      <c r="B437" s="44">
        <v>2</v>
      </c>
      <c r="C437" s="44">
        <v>2</v>
      </c>
      <c r="D437" s="330"/>
      <c r="E437" s="203"/>
      <c r="F437" s="203"/>
      <c r="G437" s="203"/>
      <c r="H437" s="204"/>
      <c r="I437" s="374"/>
      <c r="J437" s="345"/>
    </row>
    <row r="438" spans="1:10" s="9" customFormat="1" ht="30" customHeight="1">
      <c r="A438" s="67" t="s">
        <v>4</v>
      </c>
      <c r="B438" s="35">
        <v>12</v>
      </c>
      <c r="C438" s="35">
        <v>12</v>
      </c>
      <c r="D438" s="36"/>
      <c r="E438" s="203"/>
      <c r="F438" s="203"/>
      <c r="G438" s="203"/>
      <c r="H438" s="204"/>
      <c r="I438" s="373"/>
      <c r="J438" s="342"/>
    </row>
    <row r="439" spans="1:10" s="9" customFormat="1" ht="30" customHeight="1">
      <c r="A439" s="434" t="s">
        <v>27</v>
      </c>
      <c r="B439" s="111">
        <v>20</v>
      </c>
      <c r="C439" s="111">
        <v>20</v>
      </c>
      <c r="D439" s="24">
        <v>20</v>
      </c>
      <c r="E439" s="26">
        <v>0.7</v>
      </c>
      <c r="F439" s="26">
        <v>0.2</v>
      </c>
      <c r="G439" s="26">
        <v>9.4</v>
      </c>
      <c r="H439" s="30">
        <v>41.3</v>
      </c>
      <c r="I439" s="374"/>
      <c r="J439" s="342"/>
    </row>
    <row r="440" spans="1:10" s="9" customFormat="1" ht="30" customHeight="1">
      <c r="A440" s="435" t="s">
        <v>20</v>
      </c>
      <c r="B440" s="164">
        <v>30</v>
      </c>
      <c r="C440" s="164">
        <v>30</v>
      </c>
      <c r="D440" s="103">
        <v>30</v>
      </c>
      <c r="E440" s="110">
        <v>1.35</v>
      </c>
      <c r="F440" s="110">
        <v>0.3</v>
      </c>
      <c r="G440" s="110">
        <v>13.05</v>
      </c>
      <c r="H440" s="141">
        <v>60.75</v>
      </c>
      <c r="I440" s="374"/>
      <c r="J440" s="345"/>
    </row>
    <row r="441" spans="1:11" s="9" customFormat="1" ht="30" customHeight="1">
      <c r="A441" s="503" t="s">
        <v>80</v>
      </c>
      <c r="B441" s="503"/>
      <c r="C441" s="503"/>
      <c r="D441" s="54">
        <v>30</v>
      </c>
      <c r="E441" s="56"/>
      <c r="F441" s="56"/>
      <c r="G441" s="56"/>
      <c r="H441" s="56"/>
      <c r="I441" s="374"/>
      <c r="J441" s="342"/>
      <c r="K441" s="1" t="s">
        <v>47</v>
      </c>
    </row>
    <row r="442" spans="1:12" s="9" customFormat="1" ht="30" customHeight="1">
      <c r="A442" s="516" t="s">
        <v>63</v>
      </c>
      <c r="B442" s="516"/>
      <c r="C442" s="516"/>
      <c r="D442" s="167">
        <f>D443+280+D467+D493+D502</f>
        <v>860</v>
      </c>
      <c r="E442" s="122">
        <f>E443+E453++E493+E502+E505+E507+E467</f>
        <v>27.84</v>
      </c>
      <c r="F442" s="122">
        <f>F443+F453++F493+F502+F505+F507+F467</f>
        <v>29.32</v>
      </c>
      <c r="G442" s="122">
        <f>G443+G453++G493+G502+G505+G507+G467</f>
        <v>139.82</v>
      </c>
      <c r="H442" s="122">
        <f>H443+H453++H493+H502+H505+H507+H467</f>
        <v>932.1200000000001</v>
      </c>
      <c r="I442" s="381"/>
      <c r="J442" s="342"/>
      <c r="K442" s="423" t="s">
        <v>176</v>
      </c>
      <c r="L442" s="9">
        <f>+D507+D439</f>
        <v>70</v>
      </c>
    </row>
    <row r="443" spans="1:12" s="9" customFormat="1" ht="30" customHeight="1">
      <c r="A443" s="199" t="s">
        <v>317</v>
      </c>
      <c r="B443" s="199"/>
      <c r="C443" s="199"/>
      <c r="D443" s="24">
        <v>100</v>
      </c>
      <c r="E443" s="56">
        <v>0.3</v>
      </c>
      <c r="F443" s="56">
        <v>5</v>
      </c>
      <c r="G443" s="56">
        <v>2.8</v>
      </c>
      <c r="H443" s="55">
        <f>E443*4+F443*9+G443*4</f>
        <v>57.400000000000006</v>
      </c>
      <c r="I443" s="374" t="s">
        <v>318</v>
      </c>
      <c r="J443" s="342"/>
      <c r="K443" s="423" t="s">
        <v>136</v>
      </c>
      <c r="L443" s="18">
        <f>C428+C465+D505+D440+C474</f>
        <v>138.5</v>
      </c>
    </row>
    <row r="444" spans="1:12" s="126" customFormat="1" ht="30" customHeight="1">
      <c r="A444" s="64" t="s">
        <v>129</v>
      </c>
      <c r="B444" s="45">
        <f>C444*1.82</f>
        <v>147.42000000000002</v>
      </c>
      <c r="C444" s="43">
        <v>81</v>
      </c>
      <c r="D444" s="198"/>
      <c r="E444" s="198"/>
      <c r="F444" s="50"/>
      <c r="G444" s="50"/>
      <c r="H444" s="50"/>
      <c r="I444" s="404"/>
      <c r="J444" s="345"/>
      <c r="K444" s="424" t="s">
        <v>162</v>
      </c>
      <c r="L444" s="18">
        <f>C477</f>
        <v>7</v>
      </c>
    </row>
    <row r="445" spans="1:12" s="9" customFormat="1" ht="30" customHeight="1">
      <c r="A445" s="67" t="s">
        <v>115</v>
      </c>
      <c r="B445" s="45">
        <f>C445*1.19</f>
        <v>17.849999999999998</v>
      </c>
      <c r="C445" s="43">
        <v>15</v>
      </c>
      <c r="D445" s="5"/>
      <c r="E445" s="128"/>
      <c r="F445" s="128"/>
      <c r="G445" s="128"/>
      <c r="H445" s="168"/>
      <c r="I445" s="373"/>
      <c r="J445" s="342"/>
      <c r="K445" s="423" t="s">
        <v>72</v>
      </c>
      <c r="L445" s="18">
        <f>+C460</f>
        <v>16.666666666666668</v>
      </c>
    </row>
    <row r="446" spans="1:12" s="9" customFormat="1" ht="30" customHeight="1">
      <c r="A446" s="550" t="s">
        <v>402</v>
      </c>
      <c r="B446" s="550"/>
      <c r="C446" s="550"/>
      <c r="D446" s="24"/>
      <c r="E446" s="110"/>
      <c r="F446" s="110"/>
      <c r="G446" s="56"/>
      <c r="H446" s="56"/>
      <c r="I446" s="259"/>
      <c r="J446" s="345"/>
      <c r="K446" s="423" t="s">
        <v>177</v>
      </c>
      <c r="L446" s="18">
        <f>C430</f>
        <v>65</v>
      </c>
    </row>
    <row r="447" spans="1:12" s="9" customFormat="1" ht="30" customHeight="1">
      <c r="A447" s="67" t="s">
        <v>11</v>
      </c>
      <c r="B447" s="44">
        <v>5</v>
      </c>
      <c r="C447" s="44">
        <v>5</v>
      </c>
      <c r="D447" s="5"/>
      <c r="E447" s="128"/>
      <c r="F447" s="128"/>
      <c r="G447" s="128"/>
      <c r="H447" s="168"/>
      <c r="I447" s="373"/>
      <c r="J447" s="346"/>
      <c r="K447" s="424" t="s">
        <v>28</v>
      </c>
      <c r="L447" s="18">
        <f>C494+C456</f>
        <v>232</v>
      </c>
    </row>
    <row r="448" spans="1:12" s="9" customFormat="1" ht="30" customHeight="1">
      <c r="A448" s="506" t="s">
        <v>76</v>
      </c>
      <c r="B448" s="506"/>
      <c r="C448" s="506"/>
      <c r="D448" s="506"/>
      <c r="E448" s="506"/>
      <c r="F448" s="506"/>
      <c r="G448" s="506"/>
      <c r="H448" s="506"/>
      <c r="I448" s="506"/>
      <c r="J448" s="346"/>
      <c r="K448" s="423" t="s">
        <v>353</v>
      </c>
      <c r="L448" s="18">
        <f>+C461+C462+C427+++C444+C445++C426+C433+C499</f>
        <v>221</v>
      </c>
    </row>
    <row r="449" spans="1:12" s="9" customFormat="1" ht="30" customHeight="1">
      <c r="A449" s="502" t="s">
        <v>384</v>
      </c>
      <c r="B449" s="502"/>
      <c r="C449" s="502"/>
      <c r="D449" s="54">
        <v>100</v>
      </c>
      <c r="E449" s="56">
        <v>0.8</v>
      </c>
      <c r="F449" s="56">
        <v>5</v>
      </c>
      <c r="G449" s="56">
        <v>2.5</v>
      </c>
      <c r="H449" s="55">
        <f>G449*4+F449*9+E449*4</f>
        <v>58.2</v>
      </c>
      <c r="I449" s="261" t="s">
        <v>385</v>
      </c>
      <c r="J449" s="345"/>
      <c r="K449" s="424" t="s">
        <v>29</v>
      </c>
      <c r="L449" s="18">
        <f>+B503</f>
        <v>26.4</v>
      </c>
    </row>
    <row r="450" spans="1:12" s="80" customFormat="1" ht="30" customHeight="1">
      <c r="A450" s="119" t="s">
        <v>386</v>
      </c>
      <c r="B450" s="168">
        <f>C450*1.05</f>
        <v>99.75</v>
      </c>
      <c r="C450" s="111">
        <v>95</v>
      </c>
      <c r="D450" s="111"/>
      <c r="E450" s="111"/>
      <c r="F450" s="128"/>
      <c r="G450" s="111"/>
      <c r="H450" s="111"/>
      <c r="I450" s="427"/>
      <c r="J450" s="345"/>
      <c r="K450" s="424" t="s">
        <v>178</v>
      </c>
      <c r="L450" s="126"/>
    </row>
    <row r="451" spans="1:12" s="80" customFormat="1" ht="30" customHeight="1">
      <c r="A451" s="119" t="s">
        <v>272</v>
      </c>
      <c r="B451" s="168">
        <f>C451*1.02</f>
        <v>96.9</v>
      </c>
      <c r="C451" s="168">
        <v>95</v>
      </c>
      <c r="D451" s="252"/>
      <c r="E451" s="252"/>
      <c r="F451" s="252"/>
      <c r="G451" s="252"/>
      <c r="H451" s="252"/>
      <c r="I451" s="427"/>
      <c r="J451" s="345"/>
      <c r="K451" s="423" t="s">
        <v>354</v>
      </c>
      <c r="L451" s="129">
        <f>B504+B438</f>
        <v>27</v>
      </c>
    </row>
    <row r="452" spans="1:12" s="80" customFormat="1" ht="30" customHeight="1">
      <c r="A452" s="119" t="s">
        <v>373</v>
      </c>
      <c r="B452" s="111">
        <v>5</v>
      </c>
      <c r="C452" s="111">
        <v>5</v>
      </c>
      <c r="D452" s="111"/>
      <c r="E452" s="128"/>
      <c r="F452" s="128"/>
      <c r="G452" s="128"/>
      <c r="H452" s="111"/>
      <c r="I452" s="427"/>
      <c r="J452" s="346"/>
      <c r="K452" s="423" t="s">
        <v>395</v>
      </c>
      <c r="L452" s="9"/>
    </row>
    <row r="453" spans="1:12" s="80" customFormat="1" ht="30" customHeight="1">
      <c r="A453" s="552" t="s">
        <v>319</v>
      </c>
      <c r="B453" s="552"/>
      <c r="C453" s="518" t="s">
        <v>74</v>
      </c>
      <c r="D453" s="518"/>
      <c r="E453" s="56">
        <v>9.1</v>
      </c>
      <c r="F453" s="56">
        <v>4.8</v>
      </c>
      <c r="G453" s="56">
        <v>30.2</v>
      </c>
      <c r="H453" s="55">
        <f>G453*4+F453*9+E453*4</f>
        <v>200.4</v>
      </c>
      <c r="I453" s="374" t="s">
        <v>320</v>
      </c>
      <c r="J453" s="342"/>
      <c r="K453" s="424" t="s">
        <v>31</v>
      </c>
      <c r="L453" s="9"/>
    </row>
    <row r="454" spans="1:11" s="9" customFormat="1" ht="30" customHeight="1">
      <c r="A454" s="65" t="s">
        <v>90</v>
      </c>
      <c r="B454" s="33">
        <f>C454*1.36</f>
        <v>21.76</v>
      </c>
      <c r="C454" s="5">
        <v>16</v>
      </c>
      <c r="D454" s="37"/>
      <c r="E454" s="112"/>
      <c r="F454" s="112"/>
      <c r="G454" s="112"/>
      <c r="H454" s="146"/>
      <c r="I454" s="381"/>
      <c r="J454" s="342"/>
      <c r="K454" s="424" t="s">
        <v>77</v>
      </c>
    </row>
    <row r="455" spans="1:11" s="9" customFormat="1" ht="30" customHeight="1">
      <c r="A455" s="65" t="s">
        <v>91</v>
      </c>
      <c r="B455" s="33">
        <f>C455*1.18</f>
        <v>18.88</v>
      </c>
      <c r="C455" s="5">
        <f>C454</f>
        <v>16</v>
      </c>
      <c r="D455" s="37"/>
      <c r="E455" s="38"/>
      <c r="F455" s="38"/>
      <c r="G455" s="38"/>
      <c r="H455" s="144"/>
      <c r="I455" s="381"/>
      <c r="J455" s="342"/>
      <c r="K455" s="423" t="s">
        <v>39</v>
      </c>
    </row>
    <row r="456" spans="1:12" s="9" customFormat="1" ht="30" customHeight="1">
      <c r="A456" s="64" t="s">
        <v>12</v>
      </c>
      <c r="B456" s="43">
        <f>C456*1.33</f>
        <v>82.46000000000001</v>
      </c>
      <c r="C456" s="43">
        <v>62</v>
      </c>
      <c r="D456" s="37"/>
      <c r="E456" s="112"/>
      <c r="F456" s="112"/>
      <c r="G456" s="112"/>
      <c r="H456" s="146"/>
      <c r="I456" s="381"/>
      <c r="J456" s="342"/>
      <c r="K456" s="424" t="s">
        <v>179</v>
      </c>
      <c r="L456" s="19"/>
    </row>
    <row r="457" spans="1:12" s="9" customFormat="1" ht="30" customHeight="1">
      <c r="A457" s="64" t="s">
        <v>13</v>
      </c>
      <c r="B457" s="43">
        <f>C457*1.43</f>
        <v>88.66</v>
      </c>
      <c r="C457" s="43">
        <v>62</v>
      </c>
      <c r="D457" s="37"/>
      <c r="E457" s="112"/>
      <c r="F457" s="112"/>
      <c r="G457" s="112"/>
      <c r="H457" s="146"/>
      <c r="I457" s="381"/>
      <c r="J457" s="345"/>
      <c r="K457" s="424" t="s">
        <v>32</v>
      </c>
      <c r="L457" s="9">
        <f>B437</f>
        <v>2</v>
      </c>
    </row>
    <row r="458" spans="1:12" s="9" customFormat="1" ht="30" customHeight="1">
      <c r="A458" s="67" t="s">
        <v>14</v>
      </c>
      <c r="B458" s="43">
        <f>C458*1.54</f>
        <v>95.48</v>
      </c>
      <c r="C458" s="43">
        <v>62</v>
      </c>
      <c r="D458" s="37"/>
      <c r="E458" s="112"/>
      <c r="F458" s="112"/>
      <c r="G458" s="112"/>
      <c r="H458" s="146"/>
      <c r="I458" s="381"/>
      <c r="K458" s="424" t="s">
        <v>180</v>
      </c>
      <c r="L458" s="81">
        <f>C454+C423</f>
        <v>95</v>
      </c>
    </row>
    <row r="459" spans="1:12" s="9" customFormat="1" ht="30" customHeight="1">
      <c r="A459" s="67" t="s">
        <v>15</v>
      </c>
      <c r="B459" s="43">
        <f>C459*1.67</f>
        <v>103.53999999999999</v>
      </c>
      <c r="C459" s="43">
        <v>62</v>
      </c>
      <c r="D459" s="37"/>
      <c r="E459" s="112"/>
      <c r="F459" s="112"/>
      <c r="G459" s="112"/>
      <c r="H459" s="146"/>
      <c r="I459" s="381"/>
      <c r="K459" s="423" t="s">
        <v>182</v>
      </c>
      <c r="L459" s="18">
        <f>C468</f>
        <v>80</v>
      </c>
    </row>
    <row r="460" spans="1:12" s="9" customFormat="1" ht="30" customHeight="1">
      <c r="A460" s="64" t="s">
        <v>65</v>
      </c>
      <c r="B460" s="5">
        <v>17.2</v>
      </c>
      <c r="C460" s="43">
        <v>16.666666666666668</v>
      </c>
      <c r="D460" s="37"/>
      <c r="E460" s="112"/>
      <c r="F460" s="112"/>
      <c r="G460" s="112"/>
      <c r="H460" s="146"/>
      <c r="I460" s="381"/>
      <c r="K460" s="424" t="s">
        <v>181</v>
      </c>
      <c r="L460" s="18"/>
    </row>
    <row r="461" spans="1:12" s="9" customFormat="1" ht="30" customHeight="1">
      <c r="A461" s="64" t="s">
        <v>18</v>
      </c>
      <c r="B461" s="49">
        <f>C461*1.19</f>
        <v>15.469999999999999</v>
      </c>
      <c r="C461" s="43">
        <v>13</v>
      </c>
      <c r="D461" s="37"/>
      <c r="E461" s="112"/>
      <c r="F461" s="112"/>
      <c r="G461" s="112"/>
      <c r="H461" s="146"/>
      <c r="I461" s="381"/>
      <c r="K461" s="423" t="s">
        <v>183</v>
      </c>
      <c r="L461" s="18"/>
    </row>
    <row r="462" spans="1:13" s="9" customFormat="1" ht="30" customHeight="1">
      <c r="A462" s="64" t="s">
        <v>67</v>
      </c>
      <c r="B462" s="48">
        <f>C462*1.25</f>
        <v>12.5</v>
      </c>
      <c r="C462" s="43">
        <v>10</v>
      </c>
      <c r="D462" s="37"/>
      <c r="E462" s="112"/>
      <c r="F462" s="112"/>
      <c r="G462" s="112"/>
      <c r="H462" s="146"/>
      <c r="I462" s="381"/>
      <c r="K462" s="425" t="s">
        <v>184</v>
      </c>
      <c r="L462" s="18">
        <f>C469</f>
        <v>15</v>
      </c>
      <c r="M462" s="80"/>
    </row>
    <row r="463" spans="1:11" s="9" customFormat="1" ht="30" customHeight="1">
      <c r="A463" s="64" t="s">
        <v>16</v>
      </c>
      <c r="B463" s="49">
        <f>C463*1.33</f>
        <v>13.3</v>
      </c>
      <c r="C463" s="43">
        <v>10</v>
      </c>
      <c r="D463" s="37"/>
      <c r="E463" s="112"/>
      <c r="F463" s="112"/>
      <c r="G463" s="112"/>
      <c r="H463" s="146"/>
      <c r="I463" s="381"/>
      <c r="J463" s="80"/>
      <c r="K463" s="425" t="s">
        <v>185</v>
      </c>
    </row>
    <row r="464" spans="1:12" s="9" customFormat="1" ht="30" customHeight="1">
      <c r="A464" s="113" t="s">
        <v>19</v>
      </c>
      <c r="B464" s="168">
        <v>5</v>
      </c>
      <c r="C464" s="168">
        <v>5</v>
      </c>
      <c r="D464" s="150"/>
      <c r="E464" s="112"/>
      <c r="F464" s="112"/>
      <c r="G464" s="112"/>
      <c r="H464" s="146"/>
      <c r="I464" s="381"/>
      <c r="K464" s="423" t="s">
        <v>186</v>
      </c>
      <c r="L464" s="80"/>
    </row>
    <row r="465" spans="1:13" s="9" customFormat="1" ht="30" customHeight="1">
      <c r="A465" s="67" t="s">
        <v>10</v>
      </c>
      <c r="B465" s="43">
        <v>37</v>
      </c>
      <c r="C465" s="43">
        <v>31</v>
      </c>
      <c r="D465" s="37"/>
      <c r="E465" s="112"/>
      <c r="F465" s="112"/>
      <c r="G465" s="112"/>
      <c r="H465" s="146"/>
      <c r="I465" s="381"/>
      <c r="K465" s="423" t="s">
        <v>187</v>
      </c>
      <c r="L465" s="80"/>
      <c r="M465" s="80"/>
    </row>
    <row r="466" spans="1:12" s="9" customFormat="1" ht="30" customHeight="1">
      <c r="A466" s="67" t="s">
        <v>78</v>
      </c>
      <c r="B466" s="48">
        <v>0.2</v>
      </c>
      <c r="C466" s="48">
        <v>0.2</v>
      </c>
      <c r="D466" s="37"/>
      <c r="E466" s="38"/>
      <c r="F466" s="38"/>
      <c r="G466" s="38"/>
      <c r="H466" s="144"/>
      <c r="I466" s="381"/>
      <c r="K466" s="423" t="s">
        <v>188</v>
      </c>
      <c r="L466" s="80">
        <f>C476</f>
        <v>5</v>
      </c>
    </row>
    <row r="467" spans="1:12" s="9" customFormat="1" ht="30" customHeight="1">
      <c r="A467" s="501" t="s">
        <v>478</v>
      </c>
      <c r="B467" s="501"/>
      <c r="C467" s="501"/>
      <c r="D467" s="54" t="s">
        <v>479</v>
      </c>
      <c r="E467" s="56">
        <v>12.3</v>
      </c>
      <c r="F467" s="56">
        <v>12.5</v>
      </c>
      <c r="G467" s="56">
        <v>12.2</v>
      </c>
      <c r="H467" s="55">
        <f>(E467+G467)*4+F467*9</f>
        <v>210.5</v>
      </c>
      <c r="I467" s="374" t="s">
        <v>480</v>
      </c>
      <c r="K467" s="425" t="s">
        <v>33</v>
      </c>
      <c r="L467" s="18">
        <f>+C464++C500+C431</f>
        <v>17</v>
      </c>
    </row>
    <row r="468" spans="1:12" s="9" customFormat="1" ht="30" customHeight="1">
      <c r="A468" s="70" t="s">
        <v>481</v>
      </c>
      <c r="B468" s="445">
        <f>C468*1.054</f>
        <v>84.32000000000001</v>
      </c>
      <c r="C468" s="334">
        <v>80</v>
      </c>
      <c r="D468" s="44"/>
      <c r="E468" s="49"/>
      <c r="F468" s="128"/>
      <c r="G468" s="128"/>
      <c r="H468" s="168"/>
      <c r="I468" s="459"/>
      <c r="K468" s="424" t="s">
        <v>34</v>
      </c>
      <c r="L468" s="18">
        <f>C447+C425+C478</f>
        <v>12.5</v>
      </c>
    </row>
    <row r="469" spans="1:12" s="9" customFormat="1" ht="30" customHeight="1">
      <c r="A469" s="67" t="s">
        <v>56</v>
      </c>
      <c r="B469" s="44">
        <v>15</v>
      </c>
      <c r="C469" s="44">
        <v>15</v>
      </c>
      <c r="D469" s="44"/>
      <c r="E469" s="49"/>
      <c r="F469" s="49"/>
      <c r="G469" s="49"/>
      <c r="H469" s="45"/>
      <c r="I469" s="460"/>
      <c r="J469" s="80"/>
      <c r="K469" s="424" t="s">
        <v>189</v>
      </c>
      <c r="L469" s="81">
        <f>C475</f>
        <v>5</v>
      </c>
    </row>
    <row r="470" spans="1:13" s="9" customFormat="1" ht="30" customHeight="1">
      <c r="A470" s="73" t="s">
        <v>41</v>
      </c>
      <c r="B470" s="243">
        <f>B469*460/1000</f>
        <v>6.9</v>
      </c>
      <c r="C470" s="243">
        <f>C469*460/1000</f>
        <v>6.9</v>
      </c>
      <c r="D470" s="194"/>
      <c r="E470" s="56"/>
      <c r="F470" s="56"/>
      <c r="G470" s="56"/>
      <c r="H470" s="55"/>
      <c r="I470" s="373"/>
      <c r="K470" s="424" t="s">
        <v>369</v>
      </c>
      <c r="M470" s="80"/>
    </row>
    <row r="471" spans="1:13" s="9" customFormat="1" ht="30" customHeight="1">
      <c r="A471" s="73" t="s">
        <v>42</v>
      </c>
      <c r="B471" s="243">
        <f>B469*120/1000</f>
        <v>1.8</v>
      </c>
      <c r="C471" s="243">
        <f>C469*120/1000</f>
        <v>1.8</v>
      </c>
      <c r="D471" s="194"/>
      <c r="E471" s="56"/>
      <c r="F471" s="56"/>
      <c r="G471" s="56"/>
      <c r="H471" s="55"/>
      <c r="I471" s="373"/>
      <c r="K471" s="424" t="s">
        <v>190</v>
      </c>
      <c r="L471" s="9">
        <v>1.2</v>
      </c>
      <c r="M471" s="126"/>
    </row>
    <row r="472" spans="1:13" s="9" customFormat="1" ht="30" customHeight="1">
      <c r="A472" s="230" t="s">
        <v>156</v>
      </c>
      <c r="B472" s="231">
        <f>B469-B470</f>
        <v>8.1</v>
      </c>
      <c r="C472" s="231">
        <f>C469-C470</f>
        <v>8.1</v>
      </c>
      <c r="D472" s="232"/>
      <c r="E472" s="233"/>
      <c r="F472" s="233"/>
      <c r="G472" s="233"/>
      <c r="H472" s="234"/>
      <c r="I472" s="377"/>
      <c r="K472" s="423" t="s">
        <v>191</v>
      </c>
      <c r="L472" s="9">
        <v>3</v>
      </c>
      <c r="M472" s="126"/>
    </row>
    <row r="473" spans="1:13" s="9" customFormat="1" ht="30" customHeight="1">
      <c r="A473" s="230" t="s">
        <v>157</v>
      </c>
      <c r="B473" s="231">
        <f>B469-B471</f>
        <v>13.2</v>
      </c>
      <c r="C473" s="231">
        <f>C469-C471</f>
        <v>13.2</v>
      </c>
      <c r="D473" s="232"/>
      <c r="E473" s="233"/>
      <c r="F473" s="233"/>
      <c r="G473" s="233"/>
      <c r="H473" s="234"/>
      <c r="I473" s="377"/>
      <c r="M473" s="80"/>
    </row>
    <row r="474" spans="1:9" s="9" customFormat="1" ht="30" customHeight="1">
      <c r="A474" s="67" t="s">
        <v>138</v>
      </c>
      <c r="B474" s="44">
        <v>15</v>
      </c>
      <c r="C474" s="44">
        <v>15</v>
      </c>
      <c r="D474" s="44"/>
      <c r="E474" s="49"/>
      <c r="F474" s="49"/>
      <c r="G474" s="49"/>
      <c r="H474" s="45"/>
      <c r="I474" s="460"/>
    </row>
    <row r="475" spans="1:11" s="80" customFormat="1" ht="30" customHeight="1">
      <c r="A475" s="113" t="s">
        <v>88</v>
      </c>
      <c r="B475" s="168">
        <v>5</v>
      </c>
      <c r="C475" s="44">
        <v>5</v>
      </c>
      <c r="D475" s="44"/>
      <c r="E475" s="49"/>
      <c r="F475" s="49"/>
      <c r="G475" s="49"/>
      <c r="H475" s="45"/>
      <c r="I475" s="460"/>
      <c r="K475" s="9"/>
    </row>
    <row r="476" spans="1:13" s="9" customFormat="1" ht="30" customHeight="1">
      <c r="A476" s="67" t="s">
        <v>288</v>
      </c>
      <c r="B476" s="168">
        <v>6</v>
      </c>
      <c r="C476" s="44">
        <v>5</v>
      </c>
      <c r="D476" s="44"/>
      <c r="E476" s="49"/>
      <c r="F476" s="49"/>
      <c r="G476" s="49"/>
      <c r="H476" s="45"/>
      <c r="I476" s="460"/>
      <c r="J476" s="80"/>
      <c r="L476" s="80"/>
      <c r="M476" s="80"/>
    </row>
    <row r="477" spans="1:12" s="9" customFormat="1" ht="30" customHeight="1">
      <c r="A477" s="67" t="s">
        <v>21</v>
      </c>
      <c r="B477" s="168">
        <v>7</v>
      </c>
      <c r="C477" s="44">
        <v>7</v>
      </c>
      <c r="D477" s="44"/>
      <c r="E477" s="49"/>
      <c r="F477" s="49"/>
      <c r="G477" s="49"/>
      <c r="H477" s="45"/>
      <c r="I477" s="460"/>
      <c r="J477" s="80"/>
      <c r="L477" s="80"/>
    </row>
    <row r="478" spans="1:9" s="9" customFormat="1" ht="30" customHeight="1">
      <c r="A478" s="67" t="s">
        <v>11</v>
      </c>
      <c r="B478" s="44">
        <v>3</v>
      </c>
      <c r="C478" s="44">
        <v>3</v>
      </c>
      <c r="D478" s="44"/>
      <c r="E478" s="49"/>
      <c r="F478" s="49"/>
      <c r="G478" s="49"/>
      <c r="H478" s="45"/>
      <c r="I478" s="460"/>
    </row>
    <row r="479" spans="1:13" s="9" customFormat="1" ht="30" customHeight="1">
      <c r="A479" s="518" t="s">
        <v>76</v>
      </c>
      <c r="B479" s="518"/>
      <c r="C479" s="518"/>
      <c r="D479" s="518"/>
      <c r="E479" s="518"/>
      <c r="F479" s="518"/>
      <c r="G479" s="518"/>
      <c r="H479" s="518"/>
      <c r="I479" s="518"/>
      <c r="M479" s="80"/>
    </row>
    <row r="480" spans="1:11" s="80" customFormat="1" ht="30" customHeight="1">
      <c r="A480" s="509" t="s">
        <v>492</v>
      </c>
      <c r="B480" s="509"/>
      <c r="C480" s="509"/>
      <c r="D480" s="22">
        <v>100</v>
      </c>
      <c r="E480" s="56">
        <v>14.3</v>
      </c>
      <c r="F480" s="56">
        <v>13.6</v>
      </c>
      <c r="G480" s="56">
        <v>12</v>
      </c>
      <c r="H480" s="55">
        <f>G480*4+F480*9+E480*4</f>
        <v>227.59999999999997</v>
      </c>
      <c r="I480" s="260" t="s">
        <v>246</v>
      </c>
      <c r="K480" s="9"/>
    </row>
    <row r="481" spans="1:13" s="9" customFormat="1" ht="30" customHeight="1">
      <c r="A481" s="65" t="s">
        <v>90</v>
      </c>
      <c r="B481" s="33">
        <f>C481*1.36</f>
        <v>100.64</v>
      </c>
      <c r="C481" s="5">
        <v>74</v>
      </c>
      <c r="D481" s="44"/>
      <c r="E481" s="128"/>
      <c r="F481" s="128"/>
      <c r="G481" s="128"/>
      <c r="H481" s="128"/>
      <c r="I481" s="373"/>
      <c r="M481" s="82"/>
    </row>
    <row r="482" spans="1:13" s="9" customFormat="1" ht="30" customHeight="1">
      <c r="A482" s="65" t="s">
        <v>91</v>
      </c>
      <c r="B482" s="33">
        <f>C482*1.18</f>
        <v>87.32</v>
      </c>
      <c r="C482" s="5">
        <f>C481</f>
        <v>74</v>
      </c>
      <c r="D482" s="213"/>
      <c r="E482" s="38"/>
      <c r="F482" s="38"/>
      <c r="G482" s="38"/>
      <c r="H482" s="144"/>
      <c r="I482" s="379"/>
      <c r="M482" s="80"/>
    </row>
    <row r="483" spans="1:9" s="9" customFormat="1" ht="30" customHeight="1">
      <c r="A483" s="64" t="s">
        <v>10</v>
      </c>
      <c r="B483" s="5">
        <v>18</v>
      </c>
      <c r="C483" s="5">
        <v>18</v>
      </c>
      <c r="D483" s="142"/>
      <c r="E483" s="331"/>
      <c r="F483" s="56"/>
      <c r="G483" s="56"/>
      <c r="H483" s="55"/>
      <c r="I483" s="374"/>
    </row>
    <row r="484" spans="1:9" s="9" customFormat="1" ht="30" customHeight="1">
      <c r="A484" s="113" t="s">
        <v>249</v>
      </c>
      <c r="B484" s="111">
        <v>12</v>
      </c>
      <c r="C484" s="111">
        <v>12</v>
      </c>
      <c r="D484" s="371"/>
      <c r="E484" s="331"/>
      <c r="F484" s="128"/>
      <c r="G484" s="128"/>
      <c r="H484" s="168"/>
      <c r="I484" s="373"/>
    </row>
    <row r="485" spans="1:12" s="126" customFormat="1" ht="30" customHeight="1">
      <c r="A485" s="73" t="s">
        <v>41</v>
      </c>
      <c r="B485" s="243">
        <f>B484*460/1000</f>
        <v>5.52</v>
      </c>
      <c r="C485" s="243">
        <f>C484*460/1000</f>
        <v>5.52</v>
      </c>
      <c r="D485" s="194"/>
      <c r="E485" s="56"/>
      <c r="F485" s="56"/>
      <c r="G485" s="56"/>
      <c r="H485" s="55"/>
      <c r="I485" s="373"/>
      <c r="J485" s="80"/>
      <c r="K485" s="9"/>
      <c r="L485" s="80"/>
    </row>
    <row r="486" spans="1:12" s="9" customFormat="1" ht="30" customHeight="1">
      <c r="A486" s="73" t="s">
        <v>42</v>
      </c>
      <c r="B486" s="243">
        <f>B484*120/1000</f>
        <v>1.44</v>
      </c>
      <c r="C486" s="243">
        <f>C484*120/1000</f>
        <v>1.44</v>
      </c>
      <c r="D486" s="194"/>
      <c r="E486" s="56"/>
      <c r="F486" s="56"/>
      <c r="G486" s="56"/>
      <c r="H486" s="55"/>
      <c r="I486" s="373"/>
      <c r="J486" s="126"/>
      <c r="L486" s="126"/>
    </row>
    <row r="487" spans="1:13" s="80" customFormat="1" ht="30" customHeight="1">
      <c r="A487" s="230" t="s">
        <v>156</v>
      </c>
      <c r="B487" s="231">
        <f>B484-B485</f>
        <v>6.48</v>
      </c>
      <c r="C487" s="231">
        <f>C484-C485</f>
        <v>6.48</v>
      </c>
      <c r="D487" s="232"/>
      <c r="E487" s="233"/>
      <c r="F487" s="233"/>
      <c r="G487" s="233"/>
      <c r="H487" s="234"/>
      <c r="I487" s="377"/>
      <c r="K487" s="9"/>
      <c r="L487" s="9"/>
      <c r="M487" s="9"/>
    </row>
    <row r="488" spans="1:13" s="80" customFormat="1" ht="30" customHeight="1">
      <c r="A488" s="230" t="s">
        <v>157</v>
      </c>
      <c r="B488" s="231">
        <f>B484-B486</f>
        <v>10.56</v>
      </c>
      <c r="C488" s="231">
        <f>C484-C486</f>
        <v>10.56</v>
      </c>
      <c r="D488" s="232"/>
      <c r="E488" s="233"/>
      <c r="F488" s="233"/>
      <c r="G488" s="233"/>
      <c r="H488" s="234"/>
      <c r="I488" s="377"/>
      <c r="J488" s="9"/>
      <c r="K488" s="9"/>
      <c r="L488" s="9"/>
      <c r="M488" s="9"/>
    </row>
    <row r="489" spans="1:13" s="80" customFormat="1" ht="30" customHeight="1">
      <c r="A489" s="67" t="s">
        <v>18</v>
      </c>
      <c r="B489" s="45">
        <f>C489*1.19</f>
        <v>9.52</v>
      </c>
      <c r="C489" s="44">
        <v>8</v>
      </c>
      <c r="D489" s="142"/>
      <c r="E489" s="331"/>
      <c r="F489" s="128"/>
      <c r="G489" s="128"/>
      <c r="H489" s="168"/>
      <c r="I489" s="373"/>
      <c r="J489" s="9"/>
      <c r="K489" s="9"/>
      <c r="L489" s="9"/>
      <c r="M489" s="9"/>
    </row>
    <row r="490" spans="1:13" s="80" customFormat="1" ht="30" customHeight="1">
      <c r="A490" s="72" t="s">
        <v>88</v>
      </c>
      <c r="B490" s="205">
        <v>4</v>
      </c>
      <c r="C490" s="205">
        <v>4</v>
      </c>
      <c r="D490" s="221"/>
      <c r="E490" s="49"/>
      <c r="F490" s="49"/>
      <c r="G490" s="49"/>
      <c r="H490" s="45"/>
      <c r="I490" s="391"/>
      <c r="J490" s="9"/>
      <c r="K490" s="9"/>
      <c r="L490" s="9"/>
      <c r="M490" s="9"/>
    </row>
    <row r="491" spans="1:9" s="9" customFormat="1" ht="30" customHeight="1">
      <c r="A491" s="72" t="s">
        <v>171</v>
      </c>
      <c r="B491" s="205">
        <v>10</v>
      </c>
      <c r="C491" s="205">
        <v>10</v>
      </c>
      <c r="D491" s="221"/>
      <c r="E491" s="49"/>
      <c r="F491" s="49"/>
      <c r="G491" s="49"/>
      <c r="H491" s="45"/>
      <c r="I491" s="391"/>
    </row>
    <row r="492" spans="1:9" s="9" customFormat="1" ht="30" customHeight="1">
      <c r="A492" s="67" t="s">
        <v>11</v>
      </c>
      <c r="B492" s="5">
        <v>2</v>
      </c>
      <c r="C492" s="5">
        <v>2</v>
      </c>
      <c r="D492" s="142"/>
      <c r="E492" s="331"/>
      <c r="F492" s="128"/>
      <c r="G492" s="128"/>
      <c r="H492" s="168"/>
      <c r="I492" s="373"/>
    </row>
    <row r="493" spans="1:13" s="80" customFormat="1" ht="30" customHeight="1">
      <c r="A493" s="502" t="s">
        <v>323</v>
      </c>
      <c r="B493" s="502"/>
      <c r="C493" s="502"/>
      <c r="D493" s="47">
        <v>180</v>
      </c>
      <c r="E493" s="110">
        <v>1.44</v>
      </c>
      <c r="F493" s="110">
        <v>6.119999999999999</v>
      </c>
      <c r="G493" s="110">
        <v>25.92</v>
      </c>
      <c r="H493" s="55">
        <v>164.52</v>
      </c>
      <c r="I493" s="259" t="s">
        <v>324</v>
      </c>
      <c r="K493" s="9"/>
      <c r="L493" s="9"/>
      <c r="M493" s="9"/>
    </row>
    <row r="494" spans="1:10" s="9" customFormat="1" ht="30" customHeight="1">
      <c r="A494" s="113" t="s">
        <v>12</v>
      </c>
      <c r="B494" s="168">
        <f>C494*1.33</f>
        <v>226.10000000000002</v>
      </c>
      <c r="C494" s="168">
        <v>170</v>
      </c>
      <c r="D494" s="44"/>
      <c r="E494" s="128"/>
      <c r="F494" s="128"/>
      <c r="G494" s="128"/>
      <c r="H494" s="168"/>
      <c r="I494" s="373"/>
      <c r="J494" s="80"/>
    </row>
    <row r="495" spans="1:10" s="9" customFormat="1" ht="30" customHeight="1">
      <c r="A495" s="113" t="s">
        <v>13</v>
      </c>
      <c r="B495" s="168">
        <f>C495*1.43</f>
        <v>243.1</v>
      </c>
      <c r="C495" s="168">
        <v>170</v>
      </c>
      <c r="D495" s="44"/>
      <c r="E495" s="128"/>
      <c r="F495" s="128"/>
      <c r="G495" s="128"/>
      <c r="H495" s="168"/>
      <c r="I495" s="373"/>
      <c r="J495" s="80"/>
    </row>
    <row r="496" spans="1:10" s="9" customFormat="1" ht="30" customHeight="1">
      <c r="A496" s="113" t="s">
        <v>14</v>
      </c>
      <c r="B496" s="168">
        <f>C496*1.54</f>
        <v>261.8</v>
      </c>
      <c r="C496" s="168">
        <v>170</v>
      </c>
      <c r="D496" s="44"/>
      <c r="E496" s="128"/>
      <c r="F496" s="56"/>
      <c r="G496" s="56"/>
      <c r="H496" s="55"/>
      <c r="I496" s="373"/>
      <c r="J496" s="80"/>
    </row>
    <row r="497" spans="1:12" s="126" customFormat="1" ht="30" customHeight="1">
      <c r="A497" s="67" t="s">
        <v>15</v>
      </c>
      <c r="B497" s="168">
        <f>C497*1.67</f>
        <v>283.9</v>
      </c>
      <c r="C497" s="168">
        <v>170</v>
      </c>
      <c r="D497" s="44"/>
      <c r="E497" s="128"/>
      <c r="F497" s="56"/>
      <c r="G497" s="56"/>
      <c r="H497" s="55"/>
      <c r="I497" s="373"/>
      <c r="J497" s="80"/>
      <c r="K497" s="9"/>
      <c r="L497" s="9"/>
    </row>
    <row r="498" spans="1:13" s="80" customFormat="1" ht="30" customHeight="1">
      <c r="A498" s="113" t="s">
        <v>153</v>
      </c>
      <c r="B498" s="168">
        <v>30</v>
      </c>
      <c r="C498" s="168">
        <v>30</v>
      </c>
      <c r="D498" s="111"/>
      <c r="E498" s="111"/>
      <c r="F498" s="111"/>
      <c r="G498" s="111"/>
      <c r="H498" s="111"/>
      <c r="I498" s="428"/>
      <c r="K498" s="9"/>
      <c r="L498" s="9"/>
      <c r="M498" s="9"/>
    </row>
    <row r="499" spans="1:13" s="80" customFormat="1" ht="30" customHeight="1">
      <c r="A499" s="113" t="s">
        <v>18</v>
      </c>
      <c r="B499" s="168">
        <f>C499*1.19</f>
        <v>21.419999999999998</v>
      </c>
      <c r="C499" s="111">
        <v>18</v>
      </c>
      <c r="D499" s="111"/>
      <c r="E499" s="203"/>
      <c r="F499" s="203"/>
      <c r="G499" s="203"/>
      <c r="H499" s="203"/>
      <c r="I499" s="428"/>
      <c r="J499" s="9"/>
      <c r="K499" s="9"/>
      <c r="L499" s="9"/>
      <c r="M499" s="126"/>
    </row>
    <row r="500" spans="1:13" s="80" customFormat="1" ht="30" customHeight="1">
      <c r="A500" s="113" t="s">
        <v>19</v>
      </c>
      <c r="B500" s="168">
        <v>6</v>
      </c>
      <c r="C500" s="168">
        <v>6</v>
      </c>
      <c r="D500" s="111"/>
      <c r="E500" s="128"/>
      <c r="F500" s="128"/>
      <c r="G500" s="128"/>
      <c r="H500" s="168"/>
      <c r="I500" s="373"/>
      <c r="J500" s="9"/>
      <c r="K500" s="9"/>
      <c r="L500" s="9"/>
      <c r="M500" s="9"/>
    </row>
    <row r="501" spans="1:13" s="80" customFormat="1" ht="30" customHeight="1">
      <c r="A501" s="113" t="s">
        <v>119</v>
      </c>
      <c r="B501" s="111"/>
      <c r="C501" s="111">
        <v>10</v>
      </c>
      <c r="D501" s="111"/>
      <c r="E501" s="203"/>
      <c r="F501" s="226"/>
      <c r="G501" s="226"/>
      <c r="H501" s="203"/>
      <c r="I501" s="428"/>
      <c r="J501" s="9"/>
      <c r="K501" s="9"/>
      <c r="L501" s="9"/>
      <c r="M501" s="9"/>
    </row>
    <row r="502" spans="1:10" s="80" customFormat="1" ht="30" customHeight="1">
      <c r="A502" s="519" t="s">
        <v>325</v>
      </c>
      <c r="B502" s="519"/>
      <c r="C502" s="519"/>
      <c r="D502" s="98">
        <v>200</v>
      </c>
      <c r="E502" s="97">
        <v>0.1</v>
      </c>
      <c r="F502" s="97">
        <v>0</v>
      </c>
      <c r="G502" s="97">
        <v>19</v>
      </c>
      <c r="H502" s="55">
        <f>G502*4+F502*9+E502*4</f>
        <v>76.4</v>
      </c>
      <c r="I502" s="401" t="s">
        <v>326</v>
      </c>
      <c r="J502" s="9"/>
    </row>
    <row r="503" spans="1:10" s="80" customFormat="1" ht="30" customHeight="1">
      <c r="A503" s="100" t="s">
        <v>126</v>
      </c>
      <c r="B503" s="63">
        <v>26.4</v>
      </c>
      <c r="C503" s="63">
        <v>25</v>
      </c>
      <c r="D503" s="102"/>
      <c r="E503" s="136"/>
      <c r="F503" s="136"/>
      <c r="G503" s="136"/>
      <c r="H503" s="147"/>
      <c r="I503" s="384"/>
      <c r="J503" s="9"/>
    </row>
    <row r="504" spans="1:13" s="9" customFormat="1" ht="30" customHeight="1">
      <c r="A504" s="67" t="s">
        <v>4</v>
      </c>
      <c r="B504" s="63">
        <v>15</v>
      </c>
      <c r="C504" s="63">
        <v>15</v>
      </c>
      <c r="D504" s="102"/>
      <c r="E504" s="136"/>
      <c r="F504" s="136"/>
      <c r="G504" s="136"/>
      <c r="H504" s="147"/>
      <c r="I504" s="384"/>
      <c r="J504" s="126"/>
      <c r="M504" s="80"/>
    </row>
    <row r="505" spans="1:13" s="9" customFormat="1" ht="30" customHeight="1">
      <c r="A505" s="435" t="s">
        <v>20</v>
      </c>
      <c r="B505" s="164">
        <v>60</v>
      </c>
      <c r="C505" s="164">
        <v>60</v>
      </c>
      <c r="D505" s="103">
        <v>60</v>
      </c>
      <c r="E505" s="110">
        <v>2.8</v>
      </c>
      <c r="F505" s="110">
        <v>0.6</v>
      </c>
      <c r="G505" s="110">
        <v>26.2</v>
      </c>
      <c r="H505" s="141">
        <v>121.6</v>
      </c>
      <c r="I505" s="374"/>
      <c r="M505" s="80"/>
    </row>
    <row r="506" spans="1:10" s="9" customFormat="1" ht="30" customHeight="1">
      <c r="A506" s="503" t="s">
        <v>80</v>
      </c>
      <c r="B506" s="503"/>
      <c r="C506" s="503"/>
      <c r="D506" s="103">
        <v>60</v>
      </c>
      <c r="E506" s="128"/>
      <c r="F506" s="128"/>
      <c r="G506" s="128"/>
      <c r="H506" s="128"/>
      <c r="I506" s="373"/>
      <c r="J506" s="126"/>
    </row>
    <row r="507" spans="1:13" s="80" customFormat="1" ht="30" customHeight="1">
      <c r="A507" s="434" t="s">
        <v>27</v>
      </c>
      <c r="B507" s="111">
        <v>50</v>
      </c>
      <c r="C507" s="111">
        <v>50</v>
      </c>
      <c r="D507" s="54">
        <v>50</v>
      </c>
      <c r="E507" s="56">
        <v>1.8</v>
      </c>
      <c r="F507" s="56">
        <v>0.3</v>
      </c>
      <c r="G507" s="56">
        <v>23.5</v>
      </c>
      <c r="H507" s="55">
        <v>101.30000000000001</v>
      </c>
      <c r="I507" s="374"/>
      <c r="M507" s="9"/>
    </row>
    <row r="508" spans="1:10" s="9" customFormat="1" ht="30" customHeight="1">
      <c r="A508" s="544" t="s">
        <v>24</v>
      </c>
      <c r="B508" s="544"/>
      <c r="C508" s="544"/>
      <c r="D508" s="544"/>
      <c r="E508" s="138">
        <f>+E442+E421</f>
        <v>46.09</v>
      </c>
      <c r="F508" s="138">
        <f>+F442+F421</f>
        <v>45.82</v>
      </c>
      <c r="G508" s="138">
        <f>+G442+G421</f>
        <v>220.87</v>
      </c>
      <c r="H508" s="138">
        <f>+H442+H421</f>
        <v>1481.9700000000003</v>
      </c>
      <c r="I508" s="385"/>
      <c r="J508" s="80"/>
    </row>
    <row r="509" spans="1:10" s="9" customFormat="1" ht="30" customHeight="1">
      <c r="A509" s="510" t="s">
        <v>48</v>
      </c>
      <c r="B509" s="510"/>
      <c r="C509" s="510"/>
      <c r="D509" s="510"/>
      <c r="E509" s="510"/>
      <c r="F509" s="510"/>
      <c r="G509" s="510"/>
      <c r="H509" s="510"/>
      <c r="I509" s="510"/>
      <c r="J509" s="80"/>
    </row>
    <row r="510" spans="1:13" s="80" customFormat="1" ht="30" customHeight="1">
      <c r="A510" s="513" t="s">
        <v>0</v>
      </c>
      <c r="B510" s="512" t="s">
        <v>6</v>
      </c>
      <c r="C510" s="512" t="s">
        <v>7</v>
      </c>
      <c r="D510" s="513" t="s">
        <v>5</v>
      </c>
      <c r="E510" s="513"/>
      <c r="F510" s="513"/>
      <c r="G510" s="513"/>
      <c r="H510" s="513"/>
      <c r="I510" s="513"/>
      <c r="J510" s="9"/>
      <c r="M510" s="9"/>
    </row>
    <row r="511" spans="1:9" s="80" customFormat="1" ht="30" customHeight="1">
      <c r="A511" s="513"/>
      <c r="B511" s="512"/>
      <c r="C511" s="512"/>
      <c r="D511" s="419" t="s">
        <v>8</v>
      </c>
      <c r="E511" s="418" t="s">
        <v>1</v>
      </c>
      <c r="F511" s="418" t="s">
        <v>2</v>
      </c>
      <c r="G511" s="418" t="s">
        <v>9</v>
      </c>
      <c r="H511" s="417" t="s">
        <v>3</v>
      </c>
      <c r="I511" s="420" t="s">
        <v>211</v>
      </c>
    </row>
    <row r="512" spans="1:10" s="126" customFormat="1" ht="30" customHeight="1">
      <c r="A512" s="516" t="s">
        <v>112</v>
      </c>
      <c r="B512" s="516"/>
      <c r="C512" s="516"/>
      <c r="D512" s="140">
        <f>D513+D524+D528+D537</f>
        <v>660</v>
      </c>
      <c r="E512" s="122">
        <f>E513+E524+E528+E536+E537</f>
        <v>16.6</v>
      </c>
      <c r="F512" s="122">
        <f>F513+F524+F528+F536+F537</f>
        <v>22.7</v>
      </c>
      <c r="G512" s="122">
        <f>G513+G524+G528+G536+G537</f>
        <v>88.4</v>
      </c>
      <c r="H512" s="122">
        <f>H513+H524+H528+H536+H537</f>
        <v>623.4000000000001</v>
      </c>
      <c r="I512" s="381"/>
      <c r="J512" s="80"/>
    </row>
    <row r="513" spans="1:10" s="9" customFormat="1" ht="30" customHeight="1">
      <c r="A513" s="503" t="s">
        <v>441</v>
      </c>
      <c r="B513" s="503"/>
      <c r="C513" s="503"/>
      <c r="D513" s="24">
        <v>250</v>
      </c>
      <c r="E513" s="26">
        <v>7.9</v>
      </c>
      <c r="F513" s="26">
        <v>8.8</v>
      </c>
      <c r="G513" s="26">
        <v>37.1</v>
      </c>
      <c r="H513" s="30">
        <f>E513*4+F513*9+G513*4</f>
        <v>259.20000000000005</v>
      </c>
      <c r="I513" s="261" t="s">
        <v>226</v>
      </c>
      <c r="J513" s="80"/>
    </row>
    <row r="514" spans="1:13" s="9" customFormat="1" ht="30" customHeight="1">
      <c r="A514" s="71" t="s">
        <v>442</v>
      </c>
      <c r="B514" s="115">
        <v>38</v>
      </c>
      <c r="C514" s="45">
        <v>38</v>
      </c>
      <c r="D514" s="45"/>
      <c r="E514" s="49"/>
      <c r="F514" s="49"/>
      <c r="G514" s="49"/>
      <c r="H514" s="49"/>
      <c r="I514" s="461"/>
      <c r="M514" s="80"/>
    </row>
    <row r="515" spans="1:13" s="9" customFormat="1" ht="30" customHeight="1">
      <c r="A515" s="71" t="s">
        <v>443</v>
      </c>
      <c r="B515" s="115">
        <v>38</v>
      </c>
      <c r="C515" s="45">
        <v>38</v>
      </c>
      <c r="D515" s="45"/>
      <c r="E515" s="49"/>
      <c r="F515" s="49"/>
      <c r="G515" s="49"/>
      <c r="H515" s="49"/>
      <c r="I515" s="461"/>
      <c r="M515" s="80"/>
    </row>
    <row r="516" spans="1:13" s="9" customFormat="1" ht="30" customHeight="1">
      <c r="A516" s="67" t="s">
        <v>4</v>
      </c>
      <c r="B516" s="43">
        <v>6</v>
      </c>
      <c r="C516" s="43">
        <v>6</v>
      </c>
      <c r="D516" s="5"/>
      <c r="E516" s="128"/>
      <c r="F516" s="128"/>
      <c r="G516" s="128"/>
      <c r="H516" s="168"/>
      <c r="I516" s="373"/>
      <c r="M516" s="80"/>
    </row>
    <row r="517" spans="1:13" s="9" customFormat="1" ht="30" customHeight="1">
      <c r="A517" s="67" t="s">
        <v>57</v>
      </c>
      <c r="B517" s="48">
        <v>1.3</v>
      </c>
      <c r="C517" s="48">
        <v>1.3</v>
      </c>
      <c r="D517" s="5"/>
      <c r="E517" s="128"/>
      <c r="F517" s="128"/>
      <c r="G517" s="128"/>
      <c r="H517" s="168"/>
      <c r="I517" s="373"/>
      <c r="M517" s="80"/>
    </row>
    <row r="518" spans="1:13" s="9" customFormat="1" ht="30" customHeight="1">
      <c r="A518" s="67" t="s">
        <v>56</v>
      </c>
      <c r="B518" s="363">
        <v>229</v>
      </c>
      <c r="C518" s="111">
        <v>229</v>
      </c>
      <c r="D518" s="5"/>
      <c r="E518" s="128"/>
      <c r="F518" s="128"/>
      <c r="G518" s="128"/>
      <c r="H518" s="168"/>
      <c r="I518" s="373"/>
      <c r="J518" s="2"/>
      <c r="M518" s="80"/>
    </row>
    <row r="519" spans="1:13" s="156" customFormat="1" ht="30" customHeight="1">
      <c r="A519" s="73" t="s">
        <v>41</v>
      </c>
      <c r="B519" s="243">
        <f>B518*460/1000</f>
        <v>105.34</v>
      </c>
      <c r="C519" s="243">
        <f>C518*460/1000</f>
        <v>105.34</v>
      </c>
      <c r="D519" s="194"/>
      <c r="E519" s="56"/>
      <c r="F519" s="56"/>
      <c r="G519" s="56"/>
      <c r="H519" s="55"/>
      <c r="I519" s="373"/>
      <c r="J519" s="1"/>
      <c r="M519" s="9"/>
    </row>
    <row r="520" spans="1:10" s="80" customFormat="1" ht="30" customHeight="1">
      <c r="A520" s="73" t="s">
        <v>42</v>
      </c>
      <c r="B520" s="243">
        <f>B518*120/1000</f>
        <v>27.48</v>
      </c>
      <c r="C520" s="243">
        <f>C518*120/1000</f>
        <v>27.48</v>
      </c>
      <c r="D520" s="194"/>
      <c r="E520" s="56"/>
      <c r="F520" s="56"/>
      <c r="G520" s="56"/>
      <c r="H520" s="55"/>
      <c r="I520" s="373"/>
      <c r="J520" s="9"/>
    </row>
    <row r="521" spans="1:10" s="80" customFormat="1" ht="30" customHeight="1">
      <c r="A521" s="238" t="s">
        <v>156</v>
      </c>
      <c r="B521" s="243">
        <f>B518-B519</f>
        <v>123.66</v>
      </c>
      <c r="C521" s="243">
        <f>C518-C519</f>
        <v>123.66</v>
      </c>
      <c r="D521" s="194"/>
      <c r="E521" s="56"/>
      <c r="F521" s="56"/>
      <c r="G521" s="56"/>
      <c r="H521" s="55"/>
      <c r="I521" s="373"/>
      <c r="J521" s="1"/>
    </row>
    <row r="522" spans="1:13" s="9" customFormat="1" ht="30" customHeight="1">
      <c r="A522" s="238" t="s">
        <v>157</v>
      </c>
      <c r="B522" s="243">
        <f>B518-B520</f>
        <v>201.52</v>
      </c>
      <c r="C522" s="243">
        <f>C518-C520</f>
        <v>201.52</v>
      </c>
      <c r="D522" s="194"/>
      <c r="E522" s="56"/>
      <c r="F522" s="56"/>
      <c r="G522" s="56"/>
      <c r="H522" s="55"/>
      <c r="I522" s="373"/>
      <c r="M522" s="80"/>
    </row>
    <row r="523" spans="1:13" s="80" customFormat="1" ht="30" customHeight="1">
      <c r="A523" s="64" t="s">
        <v>19</v>
      </c>
      <c r="B523" s="5">
        <v>5</v>
      </c>
      <c r="C523" s="5">
        <v>5</v>
      </c>
      <c r="D523" s="5"/>
      <c r="E523" s="128"/>
      <c r="F523" s="128"/>
      <c r="G523" s="128"/>
      <c r="H523" s="168"/>
      <c r="I523" s="373"/>
      <c r="J523" s="9"/>
      <c r="M523" s="9"/>
    </row>
    <row r="524" spans="1:10" s="80" customFormat="1" ht="30" customHeight="1">
      <c r="A524" s="556" t="s">
        <v>286</v>
      </c>
      <c r="B524" s="556"/>
      <c r="C524" s="556"/>
      <c r="D524" s="194">
        <v>60</v>
      </c>
      <c r="E524" s="56">
        <v>4.4</v>
      </c>
      <c r="F524" s="56">
        <v>10.5</v>
      </c>
      <c r="G524" s="56">
        <v>12.1</v>
      </c>
      <c r="H524" s="55">
        <f>G524*4+F524*9+E524*4</f>
        <v>160.5</v>
      </c>
      <c r="I524" s="340" t="s">
        <v>287</v>
      </c>
      <c r="J524" s="9"/>
    </row>
    <row r="525" spans="1:13" s="9" customFormat="1" ht="30" customHeight="1">
      <c r="A525" s="67" t="s">
        <v>19</v>
      </c>
      <c r="B525" s="45">
        <v>10</v>
      </c>
      <c r="C525" s="45">
        <v>10</v>
      </c>
      <c r="D525" s="194"/>
      <c r="E525" s="56"/>
      <c r="F525" s="56"/>
      <c r="G525" s="56"/>
      <c r="H525" s="56"/>
      <c r="I525" s="196"/>
      <c r="M525" s="80"/>
    </row>
    <row r="526" spans="1:13" s="80" customFormat="1" ht="30" customHeight="1">
      <c r="A526" s="67" t="s">
        <v>288</v>
      </c>
      <c r="B526" s="44">
        <v>21</v>
      </c>
      <c r="C526" s="44">
        <v>20</v>
      </c>
      <c r="D526" s="24"/>
      <c r="E526" s="56"/>
      <c r="F526" s="56"/>
      <c r="G526" s="56"/>
      <c r="H526" s="55"/>
      <c r="I526" s="196"/>
      <c r="J526" s="9"/>
      <c r="M526" s="9"/>
    </row>
    <row r="527" spans="1:10" s="80" customFormat="1" ht="30" customHeight="1">
      <c r="A527" s="113" t="s">
        <v>138</v>
      </c>
      <c r="B527" s="111">
        <v>30</v>
      </c>
      <c r="C527" s="111">
        <v>30</v>
      </c>
      <c r="D527" s="54"/>
      <c r="E527" s="56"/>
      <c r="F527" s="56"/>
      <c r="G527" s="56"/>
      <c r="H527" s="55"/>
      <c r="I527" s="196"/>
      <c r="J527" s="9"/>
    </row>
    <row r="528" spans="1:10" s="80" customFormat="1" ht="30" customHeight="1">
      <c r="A528" s="501" t="s">
        <v>501</v>
      </c>
      <c r="B528" s="501"/>
      <c r="C528" s="501"/>
      <c r="D528" s="24">
        <v>200</v>
      </c>
      <c r="E528" s="26">
        <v>3.4</v>
      </c>
      <c r="F528" s="24">
        <v>3.2</v>
      </c>
      <c r="G528" s="24">
        <v>21.2</v>
      </c>
      <c r="H528" s="201">
        <f>E528*4+F528*9+G528*4</f>
        <v>127.19999999999999</v>
      </c>
      <c r="I528" s="260" t="s">
        <v>502</v>
      </c>
      <c r="J528" s="1"/>
    </row>
    <row r="529" spans="1:10" s="80" customFormat="1" ht="30" customHeight="1">
      <c r="A529" s="71" t="s">
        <v>60</v>
      </c>
      <c r="B529" s="45">
        <v>5</v>
      </c>
      <c r="C529" s="45">
        <v>5</v>
      </c>
      <c r="D529" s="44"/>
      <c r="E529" s="49"/>
      <c r="F529" s="49"/>
      <c r="G529" s="49"/>
      <c r="H529" s="45"/>
      <c r="I529" s="430"/>
      <c r="J529" s="9"/>
    </row>
    <row r="530" spans="1:10" s="80" customFormat="1" ht="30" customHeight="1">
      <c r="A530" s="119" t="s">
        <v>56</v>
      </c>
      <c r="B530" s="111">
        <v>130</v>
      </c>
      <c r="C530" s="111">
        <v>130</v>
      </c>
      <c r="D530" s="44"/>
      <c r="E530" s="44"/>
      <c r="F530" s="44"/>
      <c r="G530" s="44"/>
      <c r="H530" s="45"/>
      <c r="I530" s="262"/>
      <c r="J530" s="9"/>
    </row>
    <row r="531" spans="1:10" s="80" customFormat="1" ht="30" customHeight="1">
      <c r="A531" s="73" t="s">
        <v>41</v>
      </c>
      <c r="B531" s="243">
        <f>B530*460/1000</f>
        <v>59.8</v>
      </c>
      <c r="C531" s="243">
        <f>C530*460/1000</f>
        <v>59.8</v>
      </c>
      <c r="D531" s="194"/>
      <c r="E531" s="56"/>
      <c r="F531" s="56"/>
      <c r="G531" s="56"/>
      <c r="H531" s="55"/>
      <c r="I531" s="373"/>
      <c r="J531" s="9"/>
    </row>
    <row r="532" spans="1:10" s="9" customFormat="1" ht="30" customHeight="1">
      <c r="A532" s="73" t="s">
        <v>42</v>
      </c>
      <c r="B532" s="328">
        <f>B530*120/1000</f>
        <v>15.6</v>
      </c>
      <c r="C532" s="328">
        <f>C530*120/1000</f>
        <v>15.6</v>
      </c>
      <c r="D532" s="194"/>
      <c r="E532" s="56"/>
      <c r="F532" s="56"/>
      <c r="G532" s="56"/>
      <c r="H532" s="55"/>
      <c r="I532" s="373"/>
      <c r="J532" s="80"/>
    </row>
    <row r="533" spans="1:10" s="9" customFormat="1" ht="30" customHeight="1">
      <c r="A533" s="230" t="s">
        <v>156</v>
      </c>
      <c r="B533" s="231">
        <f>B530-B531</f>
        <v>70.2</v>
      </c>
      <c r="C533" s="231">
        <f>C530-C531</f>
        <v>70.2</v>
      </c>
      <c r="D533" s="232"/>
      <c r="E533" s="233"/>
      <c r="F533" s="233"/>
      <c r="G533" s="233"/>
      <c r="H533" s="234"/>
      <c r="I533" s="377"/>
      <c r="J533" s="80"/>
    </row>
    <row r="534" spans="1:9" s="80" customFormat="1" ht="30" customHeight="1">
      <c r="A534" s="230" t="s">
        <v>157</v>
      </c>
      <c r="B534" s="235">
        <f>B530-B532</f>
        <v>114.4</v>
      </c>
      <c r="C534" s="235">
        <f>C530-C532</f>
        <v>114.4</v>
      </c>
      <c r="D534" s="232"/>
      <c r="E534" s="233"/>
      <c r="F534" s="233"/>
      <c r="G534" s="233"/>
      <c r="H534" s="234"/>
      <c r="I534" s="377"/>
    </row>
    <row r="535" spans="1:12" s="80" customFormat="1" ht="30" customHeight="1">
      <c r="A535" s="119" t="s">
        <v>4</v>
      </c>
      <c r="B535" s="111">
        <v>15</v>
      </c>
      <c r="C535" s="111">
        <v>15</v>
      </c>
      <c r="D535" s="24"/>
      <c r="E535" s="24"/>
      <c r="F535" s="24"/>
      <c r="G535" s="24"/>
      <c r="H535" s="30"/>
      <c r="I535" s="262"/>
      <c r="J535" s="9"/>
      <c r="K535" s="9"/>
      <c r="L535" s="9"/>
    </row>
    <row r="536" spans="1:9" s="9" customFormat="1" ht="30" customHeight="1">
      <c r="A536" s="434" t="s">
        <v>27</v>
      </c>
      <c r="B536" s="111">
        <v>20</v>
      </c>
      <c r="C536" s="111">
        <v>20</v>
      </c>
      <c r="D536" s="24">
        <v>20</v>
      </c>
      <c r="E536" s="26">
        <v>0.7</v>
      </c>
      <c r="F536" s="26">
        <v>0.2</v>
      </c>
      <c r="G536" s="26">
        <v>9.4</v>
      </c>
      <c r="H536" s="30">
        <v>41.3</v>
      </c>
      <c r="I536" s="374"/>
    </row>
    <row r="537" spans="1:12" s="126" customFormat="1" ht="30" customHeight="1">
      <c r="A537" s="502" t="s">
        <v>232</v>
      </c>
      <c r="B537" s="502"/>
      <c r="C537" s="502"/>
      <c r="D537" s="31">
        <v>150</v>
      </c>
      <c r="E537" s="32">
        <v>0.2</v>
      </c>
      <c r="F537" s="32">
        <v>0</v>
      </c>
      <c r="G537" s="32">
        <v>8.6</v>
      </c>
      <c r="H537" s="201">
        <f>E537*4+F537*9+G537*4</f>
        <v>35.199999999999996</v>
      </c>
      <c r="I537" s="261" t="s">
        <v>233</v>
      </c>
      <c r="J537" s="9"/>
      <c r="K537" s="80"/>
      <c r="L537" s="80"/>
    </row>
    <row r="538" spans="1:9" s="9" customFormat="1" ht="30" customHeight="1">
      <c r="A538" s="516" t="s">
        <v>63</v>
      </c>
      <c r="B538" s="516"/>
      <c r="C538" s="516"/>
      <c r="D538" s="167">
        <f>D539+270+105+D579+D583</f>
        <v>855</v>
      </c>
      <c r="E538" s="53">
        <f>E539+E544+E565+E579+E583+E586+E588</f>
        <v>30.30666666666667</v>
      </c>
      <c r="F538" s="53">
        <f>F539+F544+F565+F579+F583+F586+F588</f>
        <v>25.653333333333336</v>
      </c>
      <c r="G538" s="53">
        <f>G539+G544+G565+G579+G583+G586+G588</f>
        <v>143.05333333333334</v>
      </c>
      <c r="H538" s="138">
        <f>H539+H544+H565+H579+H583+H586+H588</f>
        <v>921.9200000000001</v>
      </c>
      <c r="I538" s="385"/>
    </row>
    <row r="539" spans="1:12" s="9" customFormat="1" ht="30" customHeight="1">
      <c r="A539" s="502" t="s">
        <v>306</v>
      </c>
      <c r="B539" s="502"/>
      <c r="C539" s="502"/>
      <c r="D539" s="184">
        <v>100</v>
      </c>
      <c r="E539" s="110">
        <v>0.6666666666666666</v>
      </c>
      <c r="F539" s="110">
        <v>0.3333333333333333</v>
      </c>
      <c r="G539" s="110">
        <v>2.3333333333333335</v>
      </c>
      <c r="H539" s="55">
        <f>G539*4+F539*9+E539*4</f>
        <v>15</v>
      </c>
      <c r="I539" s="360" t="s">
        <v>307</v>
      </c>
      <c r="K539" s="80"/>
      <c r="L539" s="80"/>
    </row>
    <row r="540" spans="1:12" s="9" customFormat="1" ht="30" customHeight="1">
      <c r="A540" s="71" t="s">
        <v>102</v>
      </c>
      <c r="B540" s="115">
        <f>C540*1.02</f>
        <v>51</v>
      </c>
      <c r="C540" s="75">
        <v>50</v>
      </c>
      <c r="D540" s="74"/>
      <c r="E540" s="110"/>
      <c r="F540" s="110"/>
      <c r="G540" s="110"/>
      <c r="H540" s="110"/>
      <c r="I540" s="360"/>
      <c r="J540" s="80"/>
      <c r="K540" s="80"/>
      <c r="L540" s="80"/>
    </row>
    <row r="541" spans="1:12" s="9" customFormat="1" ht="30" customHeight="1">
      <c r="A541" s="72" t="s">
        <v>172</v>
      </c>
      <c r="B541" s="115">
        <f>C541*1.18</f>
        <v>59</v>
      </c>
      <c r="C541" s="75">
        <v>50</v>
      </c>
      <c r="D541" s="74"/>
      <c r="E541" s="110"/>
      <c r="F541" s="110"/>
      <c r="G541" s="110"/>
      <c r="H541" s="103"/>
      <c r="I541" s="360"/>
      <c r="J541" s="126"/>
      <c r="K541" s="80"/>
      <c r="L541" s="80"/>
    </row>
    <row r="542" spans="1:10" s="9" customFormat="1" ht="30" customHeight="1">
      <c r="A542" s="72" t="s">
        <v>101</v>
      </c>
      <c r="B542" s="115">
        <f>C542*1.02</f>
        <v>51</v>
      </c>
      <c r="C542" s="75">
        <v>50</v>
      </c>
      <c r="D542" s="184"/>
      <c r="E542" s="110"/>
      <c r="F542" s="110"/>
      <c r="G542" s="110"/>
      <c r="H542" s="110"/>
      <c r="I542" s="360"/>
      <c r="J542" s="80"/>
    </row>
    <row r="543" spans="1:10" s="9" customFormat="1" ht="30" customHeight="1">
      <c r="A543" s="72" t="s">
        <v>120</v>
      </c>
      <c r="B543" s="115">
        <f>C543*1.05</f>
        <v>52.5</v>
      </c>
      <c r="C543" s="75">
        <v>50</v>
      </c>
      <c r="D543" s="184"/>
      <c r="E543" s="110"/>
      <c r="F543" s="110"/>
      <c r="G543" s="110"/>
      <c r="H543" s="141"/>
      <c r="I543" s="360"/>
      <c r="J543" s="80"/>
    </row>
    <row r="544" spans="1:12" s="9" customFormat="1" ht="30" customHeight="1">
      <c r="A544" s="504" t="s">
        <v>308</v>
      </c>
      <c r="B544" s="504"/>
      <c r="C544" s="504"/>
      <c r="D544" s="52" t="s">
        <v>141</v>
      </c>
      <c r="E544" s="56">
        <v>5.1</v>
      </c>
      <c r="F544" s="56">
        <v>5.9</v>
      </c>
      <c r="G544" s="56">
        <v>21</v>
      </c>
      <c r="H544" s="55">
        <f>G544*4+F544*9+E544*4</f>
        <v>157.5</v>
      </c>
      <c r="I544" s="374" t="s">
        <v>309</v>
      </c>
      <c r="K544" s="80"/>
      <c r="L544" s="80"/>
    </row>
    <row r="545" spans="1:12" s="9" customFormat="1" ht="30" customHeight="1">
      <c r="A545" s="222" t="s">
        <v>310</v>
      </c>
      <c r="B545" s="220"/>
      <c r="C545" s="142">
        <v>15</v>
      </c>
      <c r="D545" s="142"/>
      <c r="E545" s="56"/>
      <c r="F545" s="56"/>
      <c r="G545" s="56"/>
      <c r="H545" s="55"/>
      <c r="I545" s="374" t="s">
        <v>311</v>
      </c>
      <c r="L545" s="80"/>
    </row>
    <row r="546" spans="1:11" s="9" customFormat="1" ht="30" customHeight="1">
      <c r="A546" s="65" t="s">
        <v>90</v>
      </c>
      <c r="B546" s="33">
        <f>C546*1.36</f>
        <v>23.12</v>
      </c>
      <c r="C546" s="5">
        <v>17</v>
      </c>
      <c r="D546" s="46"/>
      <c r="E546" s="128"/>
      <c r="F546" s="128"/>
      <c r="G546" s="128"/>
      <c r="H546" s="168"/>
      <c r="I546" s="374"/>
      <c r="J546" s="126"/>
      <c r="K546" s="126"/>
    </row>
    <row r="547" spans="1:11" s="9" customFormat="1" ht="30" customHeight="1">
      <c r="A547" s="65" t="s">
        <v>91</v>
      </c>
      <c r="B547" s="33">
        <f>C547*1.18</f>
        <v>20.06</v>
      </c>
      <c r="C547" s="5">
        <f>C546</f>
        <v>17</v>
      </c>
      <c r="D547" s="37"/>
      <c r="E547" s="38"/>
      <c r="F547" s="38"/>
      <c r="G547" s="38"/>
      <c r="H547" s="144"/>
      <c r="I547" s="379"/>
      <c r="K547" s="1" t="s">
        <v>48</v>
      </c>
    </row>
    <row r="548" spans="1:12" s="9" customFormat="1" ht="30" customHeight="1">
      <c r="A548" s="64" t="s">
        <v>18</v>
      </c>
      <c r="B548" s="45">
        <f>C548*1.19</f>
        <v>1.785</v>
      </c>
      <c r="C548" s="5">
        <v>1.5</v>
      </c>
      <c r="D548" s="37"/>
      <c r="E548" s="38"/>
      <c r="F548" s="38"/>
      <c r="G548" s="38"/>
      <c r="H548" s="144"/>
      <c r="I548" s="379"/>
      <c r="K548" s="347" t="s">
        <v>176</v>
      </c>
      <c r="L548" s="9">
        <f>B536+D588</f>
        <v>70</v>
      </c>
    </row>
    <row r="549" spans="1:12" s="9" customFormat="1" ht="30" customHeight="1">
      <c r="A549" s="113" t="s">
        <v>69</v>
      </c>
      <c r="B549" s="128">
        <v>1.5</v>
      </c>
      <c r="C549" s="5">
        <v>1.5</v>
      </c>
      <c r="D549" s="37"/>
      <c r="E549" s="38"/>
      <c r="F549" s="38"/>
      <c r="G549" s="38"/>
      <c r="H549" s="144"/>
      <c r="I549" s="379"/>
      <c r="J549" s="126"/>
      <c r="K549" s="347" t="s">
        <v>136</v>
      </c>
      <c r="L549" s="9">
        <f>+D586+C527+C568+C576</f>
        <v>118</v>
      </c>
    </row>
    <row r="550" spans="1:12" s="9" customFormat="1" ht="30" customHeight="1">
      <c r="A550" s="113" t="s">
        <v>88</v>
      </c>
      <c r="B550" s="128">
        <v>1.2</v>
      </c>
      <c r="C550" s="5">
        <v>1.2</v>
      </c>
      <c r="D550" s="37"/>
      <c r="E550" s="38"/>
      <c r="F550" s="38"/>
      <c r="G550" s="38"/>
      <c r="H550" s="144"/>
      <c r="I550" s="379"/>
      <c r="K550" s="105" t="s">
        <v>162</v>
      </c>
      <c r="L550" s="18"/>
    </row>
    <row r="551" spans="1:12" s="9" customFormat="1" ht="30" customHeight="1">
      <c r="A551" s="64" t="s">
        <v>17</v>
      </c>
      <c r="B551" s="43">
        <f>C551*1.25</f>
        <v>80</v>
      </c>
      <c r="C551" s="45">
        <v>64</v>
      </c>
      <c r="D551" s="46"/>
      <c r="E551" s="128"/>
      <c r="F551" s="128"/>
      <c r="G551" s="128"/>
      <c r="H551" s="168"/>
      <c r="I551" s="374"/>
      <c r="K551" s="347" t="s">
        <v>72</v>
      </c>
      <c r="L551" s="18">
        <f>C514+C580</f>
        <v>103</v>
      </c>
    </row>
    <row r="552" spans="1:12" s="9" customFormat="1" ht="30" customHeight="1">
      <c r="A552" s="64" t="s">
        <v>16</v>
      </c>
      <c r="B552" s="45">
        <f>C552*1.33</f>
        <v>85.34166666666668</v>
      </c>
      <c r="C552" s="45">
        <v>64.16666666666667</v>
      </c>
      <c r="D552" s="46"/>
      <c r="E552" s="128"/>
      <c r="F552" s="128"/>
      <c r="G552" s="128"/>
      <c r="H552" s="168"/>
      <c r="I552" s="374"/>
      <c r="J552" s="80"/>
      <c r="K552" s="347" t="s">
        <v>177</v>
      </c>
      <c r="L552" s="18"/>
    </row>
    <row r="553" spans="1:12" s="9" customFormat="1" ht="30" customHeight="1">
      <c r="A553" s="64" t="s">
        <v>12</v>
      </c>
      <c r="B553" s="43">
        <f>C553*1.33</f>
        <v>57.63333333333334</v>
      </c>
      <c r="C553" s="45">
        <v>43.333333333333336</v>
      </c>
      <c r="D553" s="46"/>
      <c r="E553" s="128"/>
      <c r="F553" s="128"/>
      <c r="G553" s="128"/>
      <c r="H553" s="168"/>
      <c r="I553" s="374"/>
      <c r="K553" s="105" t="s">
        <v>28</v>
      </c>
      <c r="L553" s="18">
        <f>C553</f>
        <v>43.333333333333336</v>
      </c>
    </row>
    <row r="554" spans="1:12" s="9" customFormat="1" ht="30" customHeight="1">
      <c r="A554" s="64" t="s">
        <v>13</v>
      </c>
      <c r="B554" s="43">
        <f>C554*1.43</f>
        <v>61.96666666666667</v>
      </c>
      <c r="C554" s="45">
        <v>43.333333333333336</v>
      </c>
      <c r="D554" s="46"/>
      <c r="E554" s="128"/>
      <c r="F554" s="128"/>
      <c r="G554" s="128"/>
      <c r="H554" s="168"/>
      <c r="I554" s="374"/>
      <c r="K554" s="347" t="s">
        <v>353</v>
      </c>
      <c r="L554" s="18">
        <f>C552+C557+C559+C560++C540++C548+C542+C574</f>
        <v>197.83333333333331</v>
      </c>
    </row>
    <row r="555" spans="1:12" s="9" customFormat="1" ht="30" customHeight="1">
      <c r="A555" s="67" t="s">
        <v>14</v>
      </c>
      <c r="B555" s="43">
        <f>C555*1.54</f>
        <v>66.73333333333333</v>
      </c>
      <c r="C555" s="45">
        <v>43.333333333333336</v>
      </c>
      <c r="D555" s="46"/>
      <c r="E555" s="128"/>
      <c r="F555" s="128"/>
      <c r="G555" s="128"/>
      <c r="H555" s="168"/>
      <c r="I555" s="374"/>
      <c r="K555" s="105" t="s">
        <v>29</v>
      </c>
      <c r="L555" s="9">
        <f>D537</f>
        <v>150</v>
      </c>
    </row>
    <row r="556" spans="1:13" s="80" customFormat="1" ht="30" customHeight="1">
      <c r="A556" s="67" t="s">
        <v>15</v>
      </c>
      <c r="B556" s="43">
        <f>C556*1.67</f>
        <v>72.36666666666667</v>
      </c>
      <c r="C556" s="45">
        <v>43.333333333333336</v>
      </c>
      <c r="D556" s="46"/>
      <c r="E556" s="128"/>
      <c r="F556" s="128"/>
      <c r="G556" s="128"/>
      <c r="H556" s="168"/>
      <c r="I556" s="374"/>
      <c r="J556" s="9"/>
      <c r="K556" s="105" t="s">
        <v>178</v>
      </c>
      <c r="L556" s="9">
        <f>C584</f>
        <v>25</v>
      </c>
      <c r="M556" s="9"/>
    </row>
    <row r="557" spans="1:13" s="9" customFormat="1" ht="30" customHeight="1">
      <c r="A557" s="64" t="s">
        <v>67</v>
      </c>
      <c r="B557" s="49">
        <f>C557*1.25</f>
        <v>12.5</v>
      </c>
      <c r="C557" s="45">
        <v>10</v>
      </c>
      <c r="D557" s="46"/>
      <c r="E557" s="128"/>
      <c r="F557" s="128"/>
      <c r="G557" s="128"/>
      <c r="H557" s="168"/>
      <c r="I557" s="374"/>
      <c r="K557" s="347" t="s">
        <v>354</v>
      </c>
      <c r="L557" s="129">
        <f>+C562+C585++B516+B535</f>
        <v>31.6</v>
      </c>
      <c r="M557" s="80"/>
    </row>
    <row r="558" spans="1:12" s="9" customFormat="1" ht="30" customHeight="1">
      <c r="A558" s="64" t="s">
        <v>16</v>
      </c>
      <c r="B558" s="49">
        <f>C558*1.33</f>
        <v>13.3</v>
      </c>
      <c r="C558" s="45">
        <v>10</v>
      </c>
      <c r="D558" s="46"/>
      <c r="E558" s="128"/>
      <c r="F558" s="128"/>
      <c r="G558" s="128"/>
      <c r="H558" s="168"/>
      <c r="I558" s="374"/>
      <c r="K558" s="347" t="s">
        <v>395</v>
      </c>
      <c r="L558" s="80"/>
    </row>
    <row r="559" spans="1:12" s="9" customFormat="1" ht="30" customHeight="1">
      <c r="A559" s="67" t="s">
        <v>18</v>
      </c>
      <c r="B559" s="45">
        <f>C559*1.19</f>
        <v>12.891666666666667</v>
      </c>
      <c r="C559" s="43">
        <v>10.833333333333334</v>
      </c>
      <c r="D559" s="46"/>
      <c r="E559" s="128"/>
      <c r="F559" s="128"/>
      <c r="G559" s="128"/>
      <c r="H559" s="168"/>
      <c r="I559" s="374"/>
      <c r="J559" s="80"/>
      <c r="K559" s="105" t="s">
        <v>31</v>
      </c>
      <c r="L559" s="80"/>
    </row>
    <row r="560" spans="1:11" s="9" customFormat="1" ht="30" customHeight="1">
      <c r="A560" s="72" t="s">
        <v>58</v>
      </c>
      <c r="B560" s="43">
        <v>3</v>
      </c>
      <c r="C560" s="43">
        <v>3.3333333333333335</v>
      </c>
      <c r="D560" s="46"/>
      <c r="E560" s="128"/>
      <c r="F560" s="128"/>
      <c r="G560" s="128"/>
      <c r="H560" s="168"/>
      <c r="I560" s="374"/>
      <c r="K560" s="105" t="s">
        <v>77</v>
      </c>
    </row>
    <row r="561" spans="1:19" s="9" customFormat="1" ht="30" customHeight="1">
      <c r="A561" s="113" t="s">
        <v>19</v>
      </c>
      <c r="B561" s="168">
        <v>5</v>
      </c>
      <c r="C561" s="168">
        <v>5</v>
      </c>
      <c r="D561" s="221"/>
      <c r="E561" s="128"/>
      <c r="F561" s="128"/>
      <c r="G561" s="128"/>
      <c r="H561" s="168"/>
      <c r="I561" s="374"/>
      <c r="J561" s="126"/>
      <c r="K561" s="347" t="s">
        <v>39</v>
      </c>
      <c r="L561" s="9">
        <f>C529</f>
        <v>5</v>
      </c>
      <c r="M561" s="16"/>
      <c r="N561" s="16"/>
      <c r="O561" s="16"/>
      <c r="P561" s="16"/>
      <c r="Q561" s="16"/>
      <c r="R561" s="16"/>
      <c r="S561" s="16"/>
    </row>
    <row r="562" spans="1:19" s="9" customFormat="1" ht="30" customHeight="1">
      <c r="A562" s="67" t="s">
        <v>4</v>
      </c>
      <c r="B562" s="43">
        <v>1</v>
      </c>
      <c r="C562" s="43">
        <v>0.6</v>
      </c>
      <c r="D562" s="46"/>
      <c r="E562" s="128"/>
      <c r="F562" s="128"/>
      <c r="G562" s="128"/>
      <c r="H562" s="168"/>
      <c r="I562" s="374"/>
      <c r="K562" s="105" t="s">
        <v>179</v>
      </c>
      <c r="L562" s="126"/>
      <c r="M562" s="368"/>
      <c r="N562" s="368"/>
      <c r="O562" s="368"/>
      <c r="P562" s="368"/>
      <c r="Q562" s="16"/>
      <c r="R562" s="16"/>
      <c r="S562" s="16"/>
    </row>
    <row r="563" spans="1:19" s="9" customFormat="1" ht="30" customHeight="1">
      <c r="A563" s="64" t="s">
        <v>62</v>
      </c>
      <c r="B563" s="5">
        <v>5</v>
      </c>
      <c r="C563" s="5">
        <v>5</v>
      </c>
      <c r="D563" s="46"/>
      <c r="E563" s="128"/>
      <c r="F563" s="128"/>
      <c r="G563" s="128"/>
      <c r="H563" s="168"/>
      <c r="I563" s="374"/>
      <c r="K563" s="105" t="s">
        <v>32</v>
      </c>
      <c r="L563" s="181"/>
      <c r="M563" s="368"/>
      <c r="N563" s="368"/>
      <c r="O563" s="368"/>
      <c r="P563" s="368"/>
      <c r="Q563" s="16"/>
      <c r="R563" s="16"/>
      <c r="S563" s="16"/>
    </row>
    <row r="564" spans="1:19" s="9" customFormat="1" ht="30" customHeight="1">
      <c r="A564" s="67" t="s">
        <v>78</v>
      </c>
      <c r="B564" s="48">
        <v>0.2</v>
      </c>
      <c r="C564" s="48">
        <v>0.2</v>
      </c>
      <c r="D564" s="37"/>
      <c r="E564" s="38"/>
      <c r="F564" s="38"/>
      <c r="G564" s="38"/>
      <c r="H564" s="144"/>
      <c r="I564" s="379"/>
      <c r="K564" s="105" t="s">
        <v>180</v>
      </c>
      <c r="L564" s="18">
        <f>C566+C546</f>
        <v>91</v>
      </c>
      <c r="M564" s="89"/>
      <c r="N564" s="16"/>
      <c r="O564" s="16"/>
      <c r="P564" s="16"/>
      <c r="Q564" s="16"/>
      <c r="R564" s="16"/>
      <c r="S564" s="16"/>
    </row>
    <row r="565" spans="1:19" s="9" customFormat="1" ht="30" customHeight="1">
      <c r="A565" s="509" t="s">
        <v>444</v>
      </c>
      <c r="B565" s="509"/>
      <c r="C565" s="509"/>
      <c r="D565" s="22" t="s">
        <v>35</v>
      </c>
      <c r="E565" s="56">
        <v>14.8</v>
      </c>
      <c r="F565" s="56">
        <v>13.9</v>
      </c>
      <c r="G565" s="56">
        <v>12</v>
      </c>
      <c r="H565" s="55">
        <f>G565*4+F565*9+E565*4</f>
        <v>232.3</v>
      </c>
      <c r="I565" s="260" t="s">
        <v>246</v>
      </c>
      <c r="K565" s="347" t="s">
        <v>182</v>
      </c>
      <c r="L565" s="80"/>
      <c r="M565" s="89"/>
      <c r="N565" s="16"/>
      <c r="O565" s="16"/>
      <c r="P565" s="16"/>
      <c r="Q565" s="16"/>
      <c r="R565" s="16"/>
      <c r="S565" s="16"/>
    </row>
    <row r="566" spans="1:13" s="9" customFormat="1" ht="30" customHeight="1">
      <c r="A566" s="65" t="s">
        <v>90</v>
      </c>
      <c r="B566" s="33">
        <f>C566*1.36</f>
        <v>100.64</v>
      </c>
      <c r="C566" s="5">
        <v>74</v>
      </c>
      <c r="D566" s="44"/>
      <c r="E566" s="128"/>
      <c r="F566" s="128"/>
      <c r="G566" s="128"/>
      <c r="H566" s="128"/>
      <c r="I566" s="373"/>
      <c r="K566" s="105" t="s">
        <v>181</v>
      </c>
      <c r="L566" s="80"/>
      <c r="M566" s="80"/>
    </row>
    <row r="567" spans="1:13" s="9" customFormat="1" ht="30" customHeight="1">
      <c r="A567" s="65" t="s">
        <v>91</v>
      </c>
      <c r="B567" s="33">
        <f>C567*1.18</f>
        <v>87.32</v>
      </c>
      <c r="C567" s="5">
        <f>C566</f>
        <v>74</v>
      </c>
      <c r="D567" s="213"/>
      <c r="E567" s="38"/>
      <c r="F567" s="38"/>
      <c r="G567" s="38"/>
      <c r="H567" s="144"/>
      <c r="I567" s="379"/>
      <c r="K567" s="347" t="s">
        <v>183</v>
      </c>
      <c r="M567" s="80"/>
    </row>
    <row r="568" spans="1:13" s="9" customFormat="1" ht="30" customHeight="1">
      <c r="A568" s="64" t="s">
        <v>10</v>
      </c>
      <c r="B568" s="5">
        <v>18</v>
      </c>
      <c r="C568" s="5">
        <v>18</v>
      </c>
      <c r="D568" s="142"/>
      <c r="E568" s="331"/>
      <c r="F568" s="56"/>
      <c r="G568" s="56"/>
      <c r="H568" s="55"/>
      <c r="I568" s="374"/>
      <c r="K568" s="352" t="s">
        <v>184</v>
      </c>
      <c r="L568" s="18">
        <f>C530+C518</f>
        <v>359</v>
      </c>
      <c r="M568" s="80"/>
    </row>
    <row r="569" spans="1:13" s="80" customFormat="1" ht="30" customHeight="1">
      <c r="A569" s="113" t="s">
        <v>249</v>
      </c>
      <c r="B569" s="111">
        <v>12</v>
      </c>
      <c r="C569" s="111">
        <v>12</v>
      </c>
      <c r="D569" s="371"/>
      <c r="E569" s="331"/>
      <c r="F569" s="128"/>
      <c r="G569" s="128"/>
      <c r="H569" s="168"/>
      <c r="I569" s="373"/>
      <c r="J569" s="9"/>
      <c r="K569" s="352" t="s">
        <v>185</v>
      </c>
      <c r="L569" s="18"/>
      <c r="M569" s="9"/>
    </row>
    <row r="570" spans="1:11" s="9" customFormat="1" ht="30" customHeight="1">
      <c r="A570" s="73" t="s">
        <v>41</v>
      </c>
      <c r="B570" s="243">
        <f>B569*460/1000</f>
        <v>5.52</v>
      </c>
      <c r="C570" s="243">
        <f>C569*460/1000</f>
        <v>5.52</v>
      </c>
      <c r="D570" s="194"/>
      <c r="E570" s="56"/>
      <c r="F570" s="56"/>
      <c r="G570" s="56"/>
      <c r="H570" s="55"/>
      <c r="I570" s="373"/>
      <c r="K570" s="347" t="s">
        <v>186</v>
      </c>
    </row>
    <row r="571" spans="1:12" s="9" customFormat="1" ht="30" customHeight="1">
      <c r="A571" s="73" t="s">
        <v>42</v>
      </c>
      <c r="B571" s="243">
        <f>B569*120/1000</f>
        <v>1.44</v>
      </c>
      <c r="C571" s="243">
        <f>C569*120/1000</f>
        <v>1.44</v>
      </c>
      <c r="D571" s="194"/>
      <c r="E571" s="56"/>
      <c r="F571" s="56"/>
      <c r="G571" s="56"/>
      <c r="H571" s="55"/>
      <c r="I571" s="373"/>
      <c r="K571" s="347" t="s">
        <v>187</v>
      </c>
      <c r="L571" s="18">
        <f>C563</f>
        <v>5</v>
      </c>
    </row>
    <row r="572" spans="1:12" s="9" customFormat="1" ht="30" customHeight="1">
      <c r="A572" s="230" t="s">
        <v>156</v>
      </c>
      <c r="B572" s="231">
        <f>B569-B570</f>
        <v>6.48</v>
      </c>
      <c r="C572" s="231">
        <f>C569-C570</f>
        <v>6.48</v>
      </c>
      <c r="D572" s="232"/>
      <c r="E572" s="233"/>
      <c r="F572" s="233"/>
      <c r="G572" s="233"/>
      <c r="H572" s="234"/>
      <c r="I572" s="377"/>
      <c r="K572" s="347" t="s">
        <v>188</v>
      </c>
      <c r="L572" s="18">
        <f>C526</f>
        <v>20</v>
      </c>
    </row>
    <row r="573" spans="1:12" s="9" customFormat="1" ht="30" customHeight="1">
      <c r="A573" s="230" t="s">
        <v>157</v>
      </c>
      <c r="B573" s="231">
        <f>B569-B571</f>
        <v>10.56</v>
      </c>
      <c r="C573" s="231">
        <f>C569-C571</f>
        <v>10.56</v>
      </c>
      <c r="D573" s="232"/>
      <c r="E573" s="233"/>
      <c r="F573" s="233"/>
      <c r="G573" s="233"/>
      <c r="H573" s="234"/>
      <c r="I573" s="377"/>
      <c r="K573" s="352" t="s">
        <v>33</v>
      </c>
      <c r="L573" s="181">
        <f>B523+C561+C582+C578</f>
        <v>20</v>
      </c>
    </row>
    <row r="574" spans="1:12" s="9" customFormat="1" ht="30" customHeight="1">
      <c r="A574" s="67" t="s">
        <v>18</v>
      </c>
      <c r="B574" s="45">
        <f>C574*1.19</f>
        <v>9.52</v>
      </c>
      <c r="C574" s="44">
        <v>8</v>
      </c>
      <c r="D574" s="142"/>
      <c r="E574" s="331"/>
      <c r="F574" s="128"/>
      <c r="G574" s="128"/>
      <c r="H574" s="168"/>
      <c r="I574" s="373"/>
      <c r="K574" s="105" t="s">
        <v>34</v>
      </c>
      <c r="L574" s="81">
        <f>C577</f>
        <v>2</v>
      </c>
    </row>
    <row r="575" spans="1:13" s="9" customFormat="1" ht="30" customHeight="1">
      <c r="A575" s="72" t="s">
        <v>88</v>
      </c>
      <c r="B575" s="205">
        <v>4</v>
      </c>
      <c r="C575" s="205">
        <v>4</v>
      </c>
      <c r="D575" s="221"/>
      <c r="E575" s="49"/>
      <c r="F575" s="49"/>
      <c r="G575" s="49"/>
      <c r="H575" s="45"/>
      <c r="I575" s="391"/>
      <c r="K575" s="105" t="s">
        <v>189</v>
      </c>
      <c r="L575" s="18">
        <f>+C550+C575</f>
        <v>5.2</v>
      </c>
      <c r="M575" s="80"/>
    </row>
    <row r="576" spans="1:11" s="9" customFormat="1" ht="30" customHeight="1">
      <c r="A576" s="72" t="s">
        <v>171</v>
      </c>
      <c r="B576" s="205">
        <v>10</v>
      </c>
      <c r="C576" s="205">
        <v>10</v>
      </c>
      <c r="D576" s="221"/>
      <c r="E576" s="49"/>
      <c r="F576" s="49"/>
      <c r="G576" s="49"/>
      <c r="H576" s="45"/>
      <c r="I576" s="391"/>
      <c r="K576" s="105" t="s">
        <v>369</v>
      </c>
    </row>
    <row r="577" spans="1:12" s="9" customFormat="1" ht="30" customHeight="1">
      <c r="A577" s="67" t="s">
        <v>11</v>
      </c>
      <c r="B577" s="5">
        <v>2</v>
      </c>
      <c r="C577" s="5">
        <v>2</v>
      </c>
      <c r="D577" s="142"/>
      <c r="E577" s="331"/>
      <c r="F577" s="128"/>
      <c r="G577" s="128"/>
      <c r="H577" s="168"/>
      <c r="I577" s="373"/>
      <c r="K577" s="105" t="s">
        <v>190</v>
      </c>
      <c r="L577" s="9">
        <v>1.2</v>
      </c>
    </row>
    <row r="578" spans="1:13" s="80" customFormat="1" ht="30" customHeight="1">
      <c r="A578" s="113" t="s">
        <v>40</v>
      </c>
      <c r="B578" s="111">
        <v>5</v>
      </c>
      <c r="C578" s="111">
        <v>5</v>
      </c>
      <c r="D578" s="371"/>
      <c r="E578" s="128"/>
      <c r="F578" s="128"/>
      <c r="G578" s="128"/>
      <c r="H578" s="168"/>
      <c r="I578" s="373"/>
      <c r="J578" s="9"/>
      <c r="K578" s="347" t="s">
        <v>191</v>
      </c>
      <c r="L578" s="9">
        <v>3</v>
      </c>
      <c r="M578" s="9"/>
    </row>
    <row r="579" spans="1:12" s="9" customFormat="1" ht="30" customHeight="1">
      <c r="A579" s="503" t="s">
        <v>312</v>
      </c>
      <c r="B579" s="503"/>
      <c r="C579" s="503"/>
      <c r="D579" s="22">
        <v>180</v>
      </c>
      <c r="E579" s="56">
        <v>4.44</v>
      </c>
      <c r="F579" s="56">
        <v>4.32</v>
      </c>
      <c r="G579" s="56">
        <v>40.919999999999995</v>
      </c>
      <c r="H579" s="55">
        <v>220.32000000000002</v>
      </c>
      <c r="I579" s="374" t="s">
        <v>313</v>
      </c>
      <c r="K579" s="80"/>
      <c r="L579" s="80"/>
    </row>
    <row r="580" spans="1:12" s="9" customFormat="1" ht="30" customHeight="1">
      <c r="A580" s="67" t="s">
        <v>23</v>
      </c>
      <c r="B580" s="5">
        <v>65</v>
      </c>
      <c r="C580" s="5">
        <v>65</v>
      </c>
      <c r="D580" s="44"/>
      <c r="E580" s="128"/>
      <c r="F580" s="128"/>
      <c r="G580" s="128"/>
      <c r="H580" s="168"/>
      <c r="I580" s="373"/>
      <c r="K580" s="80"/>
      <c r="L580" s="80"/>
    </row>
    <row r="581" spans="1:12" s="9" customFormat="1" ht="30" customHeight="1">
      <c r="A581" s="67" t="s">
        <v>69</v>
      </c>
      <c r="B581" s="5">
        <f>B580*6</f>
        <v>390</v>
      </c>
      <c r="C581" s="5">
        <f>C580*6</f>
        <v>390</v>
      </c>
      <c r="D581" s="44"/>
      <c r="E581" s="128"/>
      <c r="F581" s="128"/>
      <c r="G581" s="128"/>
      <c r="H581" s="168"/>
      <c r="I581" s="373"/>
      <c r="K581" s="80"/>
      <c r="L581" s="80"/>
    </row>
    <row r="582" spans="1:12" s="9" customFormat="1" ht="30" customHeight="1">
      <c r="A582" s="113" t="s">
        <v>19</v>
      </c>
      <c r="B582" s="111">
        <v>5</v>
      </c>
      <c r="C582" s="111">
        <v>5</v>
      </c>
      <c r="D582" s="111"/>
      <c r="E582" s="128"/>
      <c r="F582" s="128"/>
      <c r="G582" s="128"/>
      <c r="H582" s="168"/>
      <c r="I582" s="374"/>
      <c r="K582" s="80"/>
      <c r="L582" s="80"/>
    </row>
    <row r="583" spans="1:12" s="9" customFormat="1" ht="30" customHeight="1">
      <c r="A583" s="555" t="s">
        <v>314</v>
      </c>
      <c r="B583" s="555"/>
      <c r="C583" s="555"/>
      <c r="D583" s="103">
        <v>200</v>
      </c>
      <c r="E583" s="114">
        <v>0.7</v>
      </c>
      <c r="F583" s="114">
        <v>0.3</v>
      </c>
      <c r="G583" s="114">
        <v>17.1</v>
      </c>
      <c r="H583" s="55">
        <f>G583*4+F583*9+E583*4</f>
        <v>73.9</v>
      </c>
      <c r="I583" s="374" t="s">
        <v>315</v>
      </c>
      <c r="K583" s="80"/>
      <c r="L583" s="80"/>
    </row>
    <row r="584" spans="1:12" s="9" customFormat="1" ht="30" customHeight="1">
      <c r="A584" s="113" t="s">
        <v>83</v>
      </c>
      <c r="B584" s="111">
        <v>25</v>
      </c>
      <c r="C584" s="111">
        <v>25</v>
      </c>
      <c r="D584" s="103"/>
      <c r="E584" s="57"/>
      <c r="F584" s="57"/>
      <c r="G584" s="57"/>
      <c r="H584" s="55"/>
      <c r="I584" s="374"/>
      <c r="K584" s="80"/>
      <c r="L584" s="80"/>
    </row>
    <row r="585" spans="1:12" s="9" customFormat="1" ht="30" customHeight="1">
      <c r="A585" s="113" t="s">
        <v>4</v>
      </c>
      <c r="B585" s="111">
        <v>10</v>
      </c>
      <c r="C585" s="111">
        <v>10</v>
      </c>
      <c r="D585" s="111"/>
      <c r="E585" s="111"/>
      <c r="F585" s="111"/>
      <c r="G585" s="111"/>
      <c r="H585" s="111"/>
      <c r="I585" s="322"/>
      <c r="K585" s="80"/>
      <c r="L585" s="80"/>
    </row>
    <row r="586" spans="1:12" s="9" customFormat="1" ht="30" customHeight="1">
      <c r="A586" s="435" t="s">
        <v>20</v>
      </c>
      <c r="B586" s="164">
        <v>60</v>
      </c>
      <c r="C586" s="164">
        <v>60</v>
      </c>
      <c r="D586" s="103">
        <v>60</v>
      </c>
      <c r="E586" s="110">
        <v>2.8</v>
      </c>
      <c r="F586" s="110">
        <v>0.6</v>
      </c>
      <c r="G586" s="110">
        <v>26.2</v>
      </c>
      <c r="H586" s="141">
        <v>121.6</v>
      </c>
      <c r="I586" s="374"/>
      <c r="K586" s="80"/>
      <c r="L586" s="80"/>
    </row>
    <row r="587" spans="1:12" s="9" customFormat="1" ht="30" customHeight="1">
      <c r="A587" s="503" t="s">
        <v>80</v>
      </c>
      <c r="B587" s="503"/>
      <c r="C587" s="503"/>
      <c r="D587" s="103">
        <v>60</v>
      </c>
      <c r="E587" s="128"/>
      <c r="F587" s="128"/>
      <c r="G587" s="128"/>
      <c r="H587" s="128"/>
      <c r="I587" s="373"/>
      <c r="K587" s="80"/>
      <c r="L587" s="80"/>
    </row>
    <row r="588" spans="1:10" s="9" customFormat="1" ht="30" customHeight="1">
      <c r="A588" s="434" t="s">
        <v>27</v>
      </c>
      <c r="B588" s="111">
        <v>50</v>
      </c>
      <c r="C588" s="111">
        <v>50</v>
      </c>
      <c r="D588" s="54">
        <v>50</v>
      </c>
      <c r="E588" s="56">
        <v>1.8</v>
      </c>
      <c r="F588" s="56">
        <v>0.3</v>
      </c>
      <c r="G588" s="56">
        <v>23.5</v>
      </c>
      <c r="H588" s="55">
        <v>101.30000000000001</v>
      </c>
      <c r="I588" s="374"/>
      <c r="J588" s="126"/>
    </row>
    <row r="589" spans="1:9" s="9" customFormat="1" ht="30" customHeight="1">
      <c r="A589" s="544" t="s">
        <v>24</v>
      </c>
      <c r="B589" s="544"/>
      <c r="C589" s="544"/>
      <c r="D589" s="544"/>
      <c r="E589" s="137">
        <f>+E538+E512</f>
        <v>46.906666666666666</v>
      </c>
      <c r="F589" s="137">
        <f>+F538+F512</f>
        <v>48.35333333333334</v>
      </c>
      <c r="G589" s="137">
        <f>+G538+G512</f>
        <v>231.45333333333335</v>
      </c>
      <c r="H589" s="137">
        <f>+H538+H512</f>
        <v>1545.3200000000002</v>
      </c>
      <c r="I589" s="393"/>
    </row>
    <row r="590" spans="1:13" s="80" customFormat="1" ht="33" customHeight="1">
      <c r="A590" s="514" t="s">
        <v>212</v>
      </c>
      <c r="B590" s="520"/>
      <c r="C590" s="520"/>
      <c r="D590" s="520"/>
      <c r="E590" s="137">
        <f>(E103+E203+E296+E417+E508+E589)/6</f>
        <v>52.42555555555555</v>
      </c>
      <c r="F590" s="137">
        <f>(F103+F203+F296+F417+F508+F589)/6</f>
        <v>52.32555555555556</v>
      </c>
      <c r="G590" s="137">
        <f>(G103+G203+G296+G417+G508+G589)/6</f>
        <v>213.44833333333335</v>
      </c>
      <c r="H590" s="137">
        <f>(H103+H203+H296+H417+H508+H589)/6</f>
        <v>1531.4194444444445</v>
      </c>
      <c r="I590" s="521" t="s">
        <v>213</v>
      </c>
      <c r="M590" s="126"/>
    </row>
    <row r="591" spans="1:9" s="80" customFormat="1" ht="42" customHeight="1">
      <c r="A591" s="514" t="s">
        <v>214</v>
      </c>
      <c r="B591" s="515"/>
      <c r="C591" s="515"/>
      <c r="D591" s="515"/>
      <c r="E591" s="327" t="s">
        <v>215</v>
      </c>
      <c r="F591" s="327" t="s">
        <v>216</v>
      </c>
      <c r="G591" s="327" t="s">
        <v>217</v>
      </c>
      <c r="H591" s="327" t="s">
        <v>218</v>
      </c>
      <c r="I591" s="521"/>
    </row>
    <row r="592" spans="1:10" s="9" customFormat="1" ht="33" customHeight="1">
      <c r="A592" s="514" t="s">
        <v>219</v>
      </c>
      <c r="B592" s="520"/>
      <c r="C592" s="520"/>
      <c r="D592" s="520"/>
      <c r="E592" s="137">
        <v>90</v>
      </c>
      <c r="F592" s="137">
        <v>92</v>
      </c>
      <c r="G592" s="137">
        <v>383</v>
      </c>
      <c r="H592" s="137">
        <v>2720</v>
      </c>
      <c r="I592" s="521"/>
      <c r="J592" s="80"/>
    </row>
    <row r="593" spans="1:10" s="9" customFormat="1" ht="30" customHeight="1">
      <c r="A593" s="510" t="s">
        <v>49</v>
      </c>
      <c r="B593" s="510"/>
      <c r="C593" s="510"/>
      <c r="D593" s="510"/>
      <c r="E593" s="510"/>
      <c r="F593" s="510"/>
      <c r="G593" s="510"/>
      <c r="H593" s="510"/>
      <c r="I593" s="510"/>
      <c r="J593" s="80"/>
    </row>
    <row r="594" spans="1:9" s="9" customFormat="1" ht="30" customHeight="1">
      <c r="A594" s="513" t="s">
        <v>0</v>
      </c>
      <c r="B594" s="512" t="s">
        <v>6</v>
      </c>
      <c r="C594" s="512" t="s">
        <v>7</v>
      </c>
      <c r="D594" s="513" t="s">
        <v>5</v>
      </c>
      <c r="E594" s="513"/>
      <c r="F594" s="513"/>
      <c r="G594" s="513"/>
      <c r="H594" s="513"/>
      <c r="I594" s="513"/>
    </row>
    <row r="595" spans="1:9" s="9" customFormat="1" ht="30" customHeight="1">
      <c r="A595" s="513"/>
      <c r="B595" s="512"/>
      <c r="C595" s="512"/>
      <c r="D595" s="419" t="s">
        <v>8</v>
      </c>
      <c r="E595" s="418" t="s">
        <v>1</v>
      </c>
      <c r="F595" s="418" t="s">
        <v>2</v>
      </c>
      <c r="G595" s="418" t="s">
        <v>9</v>
      </c>
      <c r="H595" s="417" t="s">
        <v>3</v>
      </c>
      <c r="I595" s="420" t="s">
        <v>211</v>
      </c>
    </row>
    <row r="596" spans="1:9" s="9" customFormat="1" ht="30" customHeight="1">
      <c r="A596" s="516" t="s">
        <v>112</v>
      </c>
      <c r="B596" s="516"/>
      <c r="C596" s="516"/>
      <c r="D596" s="167">
        <f>D597+D625+60+207+D649</f>
        <v>747</v>
      </c>
      <c r="E596" s="122">
        <f>E597+E625+E642+E645+E649+E650+E637</f>
        <v>23.099999999999998</v>
      </c>
      <c r="F596" s="122">
        <f>F597+F625+F642+F645+F649+F650</f>
        <v>25.2</v>
      </c>
      <c r="G596" s="122">
        <f>G597+G625+G642+G645+G649+G650</f>
        <v>76.4</v>
      </c>
      <c r="H596" s="138">
        <f>H597+H625+H642+H645+H649+H650</f>
        <v>623.9000000000001</v>
      </c>
      <c r="I596" s="381"/>
    </row>
    <row r="597" spans="1:10" s="126" customFormat="1" ht="30" customHeight="1">
      <c r="A597" s="504" t="s">
        <v>450</v>
      </c>
      <c r="B597" s="504"/>
      <c r="C597" s="504"/>
      <c r="D597" s="24">
        <v>100</v>
      </c>
      <c r="E597" s="56">
        <v>14.8</v>
      </c>
      <c r="F597" s="56">
        <v>13.9</v>
      </c>
      <c r="G597" s="56">
        <v>7.6</v>
      </c>
      <c r="H597" s="169">
        <f>E597*4+F597*9+G597*4</f>
        <v>214.70000000000002</v>
      </c>
      <c r="I597" s="432" t="s">
        <v>451</v>
      </c>
      <c r="J597" s="9"/>
    </row>
    <row r="598" spans="1:13" s="80" customFormat="1" ht="35.25" customHeight="1">
      <c r="A598" s="70" t="s">
        <v>116</v>
      </c>
      <c r="B598" s="61">
        <f>C598*2.32</f>
        <v>81.19999999999999</v>
      </c>
      <c r="C598" s="35">
        <v>35</v>
      </c>
      <c r="D598" s="95"/>
      <c r="E598" s="131"/>
      <c r="F598" s="131"/>
      <c r="G598" s="131"/>
      <c r="H598" s="131"/>
      <c r="I598" s="131"/>
      <c r="J598" s="9"/>
      <c r="M598" s="9"/>
    </row>
    <row r="599" spans="1:13" s="80" customFormat="1" ht="31.5" customHeight="1">
      <c r="A599" s="148" t="s">
        <v>158</v>
      </c>
      <c r="B599" s="61">
        <f>C599*1.34</f>
        <v>46.900000000000006</v>
      </c>
      <c r="C599" s="462" t="s">
        <v>445</v>
      </c>
      <c r="D599" s="95"/>
      <c r="E599" s="463"/>
      <c r="F599" s="463"/>
      <c r="G599" s="463"/>
      <c r="H599" s="463"/>
      <c r="I599" s="311"/>
      <c r="J599" s="126"/>
      <c r="M599" s="9"/>
    </row>
    <row r="600" spans="1:13" s="80" customFormat="1" ht="31.5" customHeight="1">
      <c r="A600" s="148" t="s">
        <v>135</v>
      </c>
      <c r="B600" s="61">
        <f>C600*1.054</f>
        <v>36.89</v>
      </c>
      <c r="C600" s="462" t="s">
        <v>445</v>
      </c>
      <c r="D600" s="95"/>
      <c r="E600" s="463"/>
      <c r="F600" s="128"/>
      <c r="G600" s="128"/>
      <c r="H600" s="168"/>
      <c r="I600" s="311"/>
      <c r="M600" s="9"/>
    </row>
    <row r="601" spans="1:10" s="9" customFormat="1" ht="31.5" customHeight="1">
      <c r="A601" s="441" t="s">
        <v>90</v>
      </c>
      <c r="B601" s="61">
        <f>C601*1.36</f>
        <v>47.6</v>
      </c>
      <c r="C601" s="5">
        <v>35</v>
      </c>
      <c r="D601" s="95"/>
      <c r="E601" s="128"/>
      <c r="F601" s="56"/>
      <c r="G601" s="56"/>
      <c r="H601" s="55"/>
      <c r="I601" s="464"/>
      <c r="J601" s="80"/>
    </row>
    <row r="602" spans="1:13" s="80" customFormat="1" ht="31.5" customHeight="1">
      <c r="A602" s="441" t="s">
        <v>91</v>
      </c>
      <c r="B602" s="61">
        <f>C602*1.18</f>
        <v>41.3</v>
      </c>
      <c r="C602" s="35">
        <v>35</v>
      </c>
      <c r="D602" s="95"/>
      <c r="E602" s="131"/>
      <c r="F602" s="131"/>
      <c r="G602" s="131"/>
      <c r="H602" s="131"/>
      <c r="I602" s="131"/>
      <c r="M602" s="9"/>
    </row>
    <row r="603" spans="1:13" s="80" customFormat="1" ht="30" customHeight="1">
      <c r="A603" s="71" t="s">
        <v>446</v>
      </c>
      <c r="B603" s="168">
        <v>15</v>
      </c>
      <c r="C603" s="111">
        <v>15</v>
      </c>
      <c r="D603" s="95"/>
      <c r="E603" s="131"/>
      <c r="F603" s="131"/>
      <c r="G603" s="131"/>
      <c r="H603" s="131"/>
      <c r="I603" s="131"/>
      <c r="M603" s="9"/>
    </row>
    <row r="604" spans="1:13" s="80" customFormat="1" ht="30" customHeight="1">
      <c r="A604" s="71" t="s">
        <v>88</v>
      </c>
      <c r="B604" s="45">
        <v>9</v>
      </c>
      <c r="C604" s="45">
        <v>9</v>
      </c>
      <c r="D604" s="95"/>
      <c r="E604" s="131"/>
      <c r="F604" s="128"/>
      <c r="G604" s="128"/>
      <c r="H604" s="168"/>
      <c r="I604" s="224"/>
      <c r="M604" s="9"/>
    </row>
    <row r="605" spans="1:13" s="80" customFormat="1" ht="30" customHeight="1">
      <c r="A605" s="69" t="s">
        <v>56</v>
      </c>
      <c r="B605" s="45">
        <v>20</v>
      </c>
      <c r="C605" s="44">
        <v>20</v>
      </c>
      <c r="D605" s="95"/>
      <c r="E605" s="131"/>
      <c r="F605" s="128"/>
      <c r="G605" s="465"/>
      <c r="H605" s="466"/>
      <c r="I605" s="467"/>
      <c r="M605" s="9"/>
    </row>
    <row r="606" spans="1:9" s="9" customFormat="1" ht="30" customHeight="1">
      <c r="A606" s="468" t="s">
        <v>41</v>
      </c>
      <c r="B606" s="469">
        <f>B605*460/1000</f>
        <v>9.2</v>
      </c>
      <c r="C606" s="469">
        <f>C605*460/1000</f>
        <v>9.2</v>
      </c>
      <c r="D606" s="111"/>
      <c r="E606" s="128"/>
      <c r="F606" s="128"/>
      <c r="G606" s="128"/>
      <c r="H606" s="111"/>
      <c r="I606" s="464"/>
    </row>
    <row r="607" spans="1:14" s="80" customFormat="1" ht="30" customHeight="1">
      <c r="A607" s="468" t="s">
        <v>42</v>
      </c>
      <c r="B607" s="469">
        <f>B605*120/1000</f>
        <v>2.4</v>
      </c>
      <c r="C607" s="469">
        <f>C605*120/1000</f>
        <v>2.4</v>
      </c>
      <c r="D607" s="111"/>
      <c r="E607" s="128"/>
      <c r="F607" s="128"/>
      <c r="G607" s="128"/>
      <c r="H607" s="111"/>
      <c r="I607" s="464"/>
      <c r="J607" s="9"/>
      <c r="M607" s="9"/>
      <c r="N607" s="9"/>
    </row>
    <row r="608" spans="1:14" s="80" customFormat="1" ht="30" customHeight="1">
      <c r="A608" s="470" t="s">
        <v>447</v>
      </c>
      <c r="B608" s="471">
        <f>B605-B606</f>
        <v>10.8</v>
      </c>
      <c r="C608" s="471">
        <f>C605-C606</f>
        <v>10.8</v>
      </c>
      <c r="D608" s="472"/>
      <c r="E608" s="448"/>
      <c r="F608" s="448"/>
      <c r="G608" s="448"/>
      <c r="H608" s="472"/>
      <c r="I608" s="464"/>
      <c r="J608" s="9"/>
      <c r="M608" s="9"/>
      <c r="N608" s="9"/>
    </row>
    <row r="609" spans="1:14" s="9" customFormat="1" ht="30" customHeight="1">
      <c r="A609" s="470" t="s">
        <v>448</v>
      </c>
      <c r="B609" s="471">
        <f>B605-B607</f>
        <v>17.6</v>
      </c>
      <c r="C609" s="471">
        <f>C605-C607</f>
        <v>17.6</v>
      </c>
      <c r="D609" s="472"/>
      <c r="E609" s="448"/>
      <c r="F609" s="448"/>
      <c r="G609" s="448"/>
      <c r="H609" s="472"/>
      <c r="I609" s="464"/>
      <c r="J609" s="80"/>
      <c r="M609" s="2"/>
      <c r="N609" s="2"/>
    </row>
    <row r="610" spans="1:14" s="80" customFormat="1" ht="30" customHeight="1">
      <c r="A610" s="72" t="s">
        <v>449</v>
      </c>
      <c r="B610" s="48">
        <v>2.5</v>
      </c>
      <c r="C610" s="48">
        <v>2.5</v>
      </c>
      <c r="D610" s="95"/>
      <c r="E610" s="131"/>
      <c r="F610" s="118"/>
      <c r="G610" s="118"/>
      <c r="H610" s="229"/>
      <c r="I610" s="473"/>
      <c r="J610" s="9"/>
      <c r="M610" s="1"/>
      <c r="N610" s="1"/>
    </row>
    <row r="611" spans="1:9" s="9" customFormat="1" ht="30" customHeight="1">
      <c r="A611" s="506" t="s">
        <v>76</v>
      </c>
      <c r="B611" s="506"/>
      <c r="C611" s="506"/>
      <c r="D611" s="506"/>
      <c r="E611" s="506"/>
      <c r="F611" s="506"/>
      <c r="G611" s="506"/>
      <c r="H611" s="506"/>
      <c r="I611" s="506"/>
    </row>
    <row r="612" spans="1:14" s="9" customFormat="1" ht="30" customHeight="1">
      <c r="A612" s="509" t="s">
        <v>491</v>
      </c>
      <c r="B612" s="509"/>
      <c r="C612" s="509"/>
      <c r="D612" s="22">
        <v>100</v>
      </c>
      <c r="E612" s="56">
        <v>14.3</v>
      </c>
      <c r="F612" s="56">
        <v>13.6</v>
      </c>
      <c r="G612" s="56">
        <v>12</v>
      </c>
      <c r="H612" s="55">
        <f>G612*4+F612*9+E612*4</f>
        <v>227.59999999999997</v>
      </c>
      <c r="I612" s="260" t="s">
        <v>246</v>
      </c>
      <c r="J612" s="80"/>
      <c r="M612" s="1"/>
      <c r="N612" s="1"/>
    </row>
    <row r="613" spans="1:14" s="80" customFormat="1" ht="30" customHeight="1">
      <c r="A613" s="65" t="s">
        <v>90</v>
      </c>
      <c r="B613" s="33">
        <f>C613*1.36</f>
        <v>100.64</v>
      </c>
      <c r="C613" s="5">
        <v>74</v>
      </c>
      <c r="D613" s="44"/>
      <c r="E613" s="128"/>
      <c r="F613" s="128"/>
      <c r="G613" s="128"/>
      <c r="H613" s="128"/>
      <c r="I613" s="373"/>
      <c r="M613" s="9"/>
      <c r="N613" s="9"/>
    </row>
    <row r="614" spans="1:14" s="80" customFormat="1" ht="30" customHeight="1">
      <c r="A614" s="65" t="s">
        <v>91</v>
      </c>
      <c r="B614" s="33">
        <f>C614*1.18</f>
        <v>87.32</v>
      </c>
      <c r="C614" s="5">
        <f>C613</f>
        <v>74</v>
      </c>
      <c r="D614" s="213"/>
      <c r="E614" s="38"/>
      <c r="F614" s="38"/>
      <c r="G614" s="38"/>
      <c r="H614" s="144"/>
      <c r="I614" s="379"/>
      <c r="M614" s="9"/>
      <c r="N614" s="9"/>
    </row>
    <row r="615" spans="1:14" s="80" customFormat="1" ht="30" customHeight="1">
      <c r="A615" s="64" t="s">
        <v>10</v>
      </c>
      <c r="B615" s="5">
        <v>18</v>
      </c>
      <c r="C615" s="5">
        <v>18</v>
      </c>
      <c r="D615" s="142"/>
      <c r="E615" s="331"/>
      <c r="F615" s="331"/>
      <c r="G615" s="331"/>
      <c r="H615" s="331"/>
      <c r="I615" s="374"/>
      <c r="J615" s="126"/>
      <c r="M615" s="9"/>
      <c r="N615" s="9"/>
    </row>
    <row r="616" spans="1:14" s="80" customFormat="1" ht="30" customHeight="1">
      <c r="A616" s="113" t="s">
        <v>249</v>
      </c>
      <c r="B616" s="111">
        <v>12</v>
      </c>
      <c r="C616" s="111">
        <v>12</v>
      </c>
      <c r="D616" s="371"/>
      <c r="E616" s="331"/>
      <c r="F616" s="128"/>
      <c r="G616" s="128"/>
      <c r="H616" s="168"/>
      <c r="I616" s="373"/>
      <c r="J616" s="9"/>
      <c r="M616" s="9"/>
      <c r="N616" s="9"/>
    </row>
    <row r="617" spans="1:14" s="80" customFormat="1" ht="30" customHeight="1">
      <c r="A617" s="73" t="s">
        <v>41</v>
      </c>
      <c r="B617" s="243">
        <f>B616*460/1000</f>
        <v>5.52</v>
      </c>
      <c r="C617" s="243">
        <f>C616*460/1000</f>
        <v>5.52</v>
      </c>
      <c r="D617" s="194"/>
      <c r="E617" s="56"/>
      <c r="F617" s="56"/>
      <c r="G617" s="56"/>
      <c r="H617" s="55"/>
      <c r="I617" s="373"/>
      <c r="J617" s="9"/>
      <c r="M617" s="9"/>
      <c r="N617" s="9"/>
    </row>
    <row r="618" spans="1:14" s="80" customFormat="1" ht="30" customHeight="1">
      <c r="A618" s="73" t="s">
        <v>42</v>
      </c>
      <c r="B618" s="243">
        <f>B616*120/1000</f>
        <v>1.44</v>
      </c>
      <c r="C618" s="243">
        <f>C616*120/1000</f>
        <v>1.44</v>
      </c>
      <c r="D618" s="194"/>
      <c r="E618" s="56"/>
      <c r="F618" s="56"/>
      <c r="G618" s="56"/>
      <c r="H618" s="55"/>
      <c r="I618" s="373"/>
      <c r="J618" s="9"/>
      <c r="M618" s="9"/>
      <c r="N618" s="9"/>
    </row>
    <row r="619" spans="1:14" s="9" customFormat="1" ht="44.25" customHeight="1">
      <c r="A619" s="230" t="s">
        <v>156</v>
      </c>
      <c r="B619" s="231">
        <f>B616-B617</f>
        <v>6.48</v>
      </c>
      <c r="C619" s="231">
        <f>C616-C617</f>
        <v>6.48</v>
      </c>
      <c r="D619" s="232"/>
      <c r="E619" s="233"/>
      <c r="F619" s="233"/>
      <c r="G619" s="233"/>
      <c r="H619" s="234"/>
      <c r="I619" s="377"/>
      <c r="M619" s="1"/>
      <c r="N619" s="1"/>
    </row>
    <row r="620" spans="1:9" s="9" customFormat="1" ht="30" customHeight="1">
      <c r="A620" s="230" t="s">
        <v>157</v>
      </c>
      <c r="B620" s="231">
        <f>B616-B618</f>
        <v>10.56</v>
      </c>
      <c r="C620" s="231">
        <f>C616-C618</f>
        <v>10.56</v>
      </c>
      <c r="D620" s="232"/>
      <c r="E620" s="233"/>
      <c r="F620" s="233"/>
      <c r="G620" s="233"/>
      <c r="H620" s="234"/>
      <c r="I620" s="377"/>
    </row>
    <row r="621" spans="1:10" s="9" customFormat="1" ht="30" customHeight="1">
      <c r="A621" s="67" t="s">
        <v>18</v>
      </c>
      <c r="B621" s="45">
        <f>C621*1.19</f>
        <v>9.52</v>
      </c>
      <c r="C621" s="44">
        <v>8</v>
      </c>
      <c r="D621" s="142"/>
      <c r="E621" s="331"/>
      <c r="F621" s="128"/>
      <c r="G621" s="128"/>
      <c r="H621" s="168"/>
      <c r="I621" s="373"/>
      <c r="J621" s="156"/>
    </row>
    <row r="622" spans="1:10" s="9" customFormat="1" ht="30" customHeight="1">
      <c r="A622" s="72" t="s">
        <v>88</v>
      </c>
      <c r="B622" s="205">
        <v>4</v>
      </c>
      <c r="C622" s="205">
        <v>4</v>
      </c>
      <c r="D622" s="221"/>
      <c r="E622" s="49"/>
      <c r="F622" s="49"/>
      <c r="G622" s="49"/>
      <c r="H622" s="45"/>
      <c r="I622" s="391"/>
      <c r="J622" s="80"/>
    </row>
    <row r="623" spans="1:14" s="9" customFormat="1" ht="30" customHeight="1">
      <c r="A623" s="72" t="s">
        <v>171</v>
      </c>
      <c r="B623" s="205">
        <v>10</v>
      </c>
      <c r="C623" s="205">
        <v>10</v>
      </c>
      <c r="D623" s="221"/>
      <c r="E623" s="49"/>
      <c r="F623" s="49"/>
      <c r="G623" s="49"/>
      <c r="H623" s="45"/>
      <c r="I623" s="391"/>
      <c r="J623" s="80"/>
      <c r="N623" s="80"/>
    </row>
    <row r="624" spans="1:12" s="80" customFormat="1" ht="30" customHeight="1">
      <c r="A624" s="67" t="s">
        <v>11</v>
      </c>
      <c r="B624" s="5">
        <v>2</v>
      </c>
      <c r="C624" s="5">
        <v>2</v>
      </c>
      <c r="D624" s="142"/>
      <c r="E624" s="331"/>
      <c r="F624" s="128"/>
      <c r="G624" s="128"/>
      <c r="H624" s="168"/>
      <c r="I624" s="373"/>
      <c r="J624" s="9"/>
      <c r="K624" s="9"/>
      <c r="L624" s="9"/>
    </row>
    <row r="625" spans="1:12" s="80" customFormat="1" ht="31.5" customHeight="1">
      <c r="A625" s="522" t="s">
        <v>381</v>
      </c>
      <c r="B625" s="522"/>
      <c r="C625" s="522"/>
      <c r="D625" s="47">
        <v>230</v>
      </c>
      <c r="E625" s="110">
        <v>3.9</v>
      </c>
      <c r="F625" s="110">
        <v>4.7</v>
      </c>
      <c r="G625" s="110">
        <v>24.8</v>
      </c>
      <c r="H625" s="55">
        <f>G625*4+F625*9+E625*4</f>
        <v>157.1</v>
      </c>
      <c r="I625" s="261" t="s">
        <v>251</v>
      </c>
      <c r="K625" s="1" t="s">
        <v>49</v>
      </c>
      <c r="L625" s="9"/>
    </row>
    <row r="626" spans="1:12" s="9" customFormat="1" ht="33.75" customHeight="1">
      <c r="A626" s="357" t="s">
        <v>250</v>
      </c>
      <c r="B626" s="357"/>
      <c r="C626" s="371">
        <v>180</v>
      </c>
      <c r="D626" s="47"/>
      <c r="E626" s="110"/>
      <c r="F626" s="110"/>
      <c r="G626" s="110"/>
      <c r="H626" s="55"/>
      <c r="I626" s="261"/>
      <c r="J626" s="80"/>
      <c r="K626" s="347" t="s">
        <v>176</v>
      </c>
      <c r="L626" s="210">
        <f>D650+D732</f>
        <v>70</v>
      </c>
    </row>
    <row r="627" spans="1:12" s="9" customFormat="1" ht="30" customHeight="1">
      <c r="A627" s="67" t="s">
        <v>12</v>
      </c>
      <c r="B627" s="45">
        <f>C627*1.33</f>
        <v>203.49</v>
      </c>
      <c r="C627" s="45">
        <v>153</v>
      </c>
      <c r="D627" s="44"/>
      <c r="E627" s="128"/>
      <c r="F627" s="128"/>
      <c r="G627" s="128"/>
      <c r="H627" s="168"/>
      <c r="I627" s="373"/>
      <c r="K627" s="347" t="s">
        <v>136</v>
      </c>
      <c r="L627" s="20">
        <f>C698+C603+D730+++C643</f>
        <v>113</v>
      </c>
    </row>
    <row r="628" spans="1:14" s="80" customFormat="1" ht="30" customHeight="1">
      <c r="A628" s="67" t="s">
        <v>13</v>
      </c>
      <c r="B628" s="45">
        <f>C628*1.43</f>
        <v>218.79</v>
      </c>
      <c r="C628" s="45">
        <v>153</v>
      </c>
      <c r="D628" s="44"/>
      <c r="E628" s="128"/>
      <c r="F628" s="128"/>
      <c r="G628" s="128"/>
      <c r="H628" s="128"/>
      <c r="I628" s="373"/>
      <c r="K628" s="105" t="s">
        <v>162</v>
      </c>
      <c r="L628" s="20">
        <f>+C724+C706</f>
        <v>11.5</v>
      </c>
      <c r="N628" s="9"/>
    </row>
    <row r="629" spans="1:12" s="9" customFormat="1" ht="30" customHeight="1">
      <c r="A629" s="67" t="s">
        <v>14</v>
      </c>
      <c r="B629" s="45">
        <f>C629*1.54</f>
        <v>235.62</v>
      </c>
      <c r="C629" s="45">
        <v>153</v>
      </c>
      <c r="D629" s="44"/>
      <c r="E629" s="128"/>
      <c r="F629" s="56"/>
      <c r="G629" s="56"/>
      <c r="H629" s="55"/>
      <c r="I629" s="373"/>
      <c r="J629" s="80"/>
      <c r="K629" s="347" t="s">
        <v>72</v>
      </c>
      <c r="L629" s="20"/>
    </row>
    <row r="630" spans="1:14" s="80" customFormat="1" ht="30" customHeight="1">
      <c r="A630" s="67" t="s">
        <v>15</v>
      </c>
      <c r="B630" s="45">
        <f>C630*1.67</f>
        <v>255.51</v>
      </c>
      <c r="C630" s="45">
        <v>153</v>
      </c>
      <c r="D630" s="44"/>
      <c r="E630" s="128"/>
      <c r="F630" s="56"/>
      <c r="G630" s="56"/>
      <c r="H630" s="55"/>
      <c r="I630" s="373"/>
      <c r="K630" s="347" t="s">
        <v>177</v>
      </c>
      <c r="L630" s="20">
        <f>C674</f>
        <v>20</v>
      </c>
      <c r="N630" s="9"/>
    </row>
    <row r="631" spans="1:12" s="80" customFormat="1" ht="30" customHeight="1">
      <c r="A631" s="67" t="s">
        <v>56</v>
      </c>
      <c r="B631" s="5">
        <v>28</v>
      </c>
      <c r="C631" s="5">
        <v>28</v>
      </c>
      <c r="D631" s="44"/>
      <c r="E631" s="128"/>
      <c r="F631" s="128"/>
      <c r="G631" s="128"/>
      <c r="H631" s="168"/>
      <c r="I631" s="373"/>
      <c r="K631" s="105" t="s">
        <v>28</v>
      </c>
      <c r="L631" s="20">
        <f>C717+C628</f>
        <v>189</v>
      </c>
    </row>
    <row r="632" spans="1:12" s="80" customFormat="1" ht="30" customHeight="1">
      <c r="A632" s="73" t="s">
        <v>41</v>
      </c>
      <c r="B632" s="243">
        <f>B631*460/1000</f>
        <v>12.88</v>
      </c>
      <c r="C632" s="243">
        <f>C631*460/1000</f>
        <v>12.88</v>
      </c>
      <c r="D632" s="194"/>
      <c r="E632" s="56"/>
      <c r="F632" s="56"/>
      <c r="G632" s="56"/>
      <c r="H632" s="55"/>
      <c r="I632" s="373"/>
      <c r="K632" s="347" t="s">
        <v>353</v>
      </c>
      <c r="L632" s="20">
        <f>+C653++C704+C675+C677+C679+C715+C721+C665++C710+C711+C655</f>
        <v>291.7</v>
      </c>
    </row>
    <row r="633" spans="1:12" s="9" customFormat="1" ht="30" customHeight="1">
      <c r="A633" s="73" t="s">
        <v>42</v>
      </c>
      <c r="B633" s="328">
        <f>B631*120/1000</f>
        <v>3.36</v>
      </c>
      <c r="C633" s="328">
        <f>C631*120/1000</f>
        <v>3.36</v>
      </c>
      <c r="D633" s="194"/>
      <c r="E633" s="56"/>
      <c r="F633" s="56"/>
      <c r="G633" s="56"/>
      <c r="H633" s="55"/>
      <c r="I633" s="373"/>
      <c r="J633" s="80"/>
      <c r="K633" s="105" t="s">
        <v>29</v>
      </c>
      <c r="L633" s="19">
        <f>C648+D649</f>
        <v>157</v>
      </c>
    </row>
    <row r="634" spans="1:12" s="9" customFormat="1" ht="37.5" customHeight="1">
      <c r="A634" s="230" t="s">
        <v>156</v>
      </c>
      <c r="B634" s="231">
        <f>B631-B632</f>
        <v>15.12</v>
      </c>
      <c r="C634" s="231">
        <f>C631-C632</f>
        <v>15.12</v>
      </c>
      <c r="D634" s="232"/>
      <c r="E634" s="233"/>
      <c r="F634" s="233"/>
      <c r="G634" s="233"/>
      <c r="H634" s="234"/>
      <c r="I634" s="377"/>
      <c r="K634" s="105" t="s">
        <v>178</v>
      </c>
      <c r="L634" s="20"/>
    </row>
    <row r="635" spans="1:12" s="80" customFormat="1" ht="30" customHeight="1">
      <c r="A635" s="230" t="s">
        <v>157</v>
      </c>
      <c r="B635" s="235">
        <f>B631-B633</f>
        <v>24.64</v>
      </c>
      <c r="C635" s="235">
        <f>C631-C633</f>
        <v>24.64</v>
      </c>
      <c r="D635" s="232"/>
      <c r="E635" s="233"/>
      <c r="F635" s="233"/>
      <c r="G635" s="233"/>
      <c r="H635" s="234"/>
      <c r="I635" s="377"/>
      <c r="J635" s="9"/>
      <c r="K635" s="347" t="s">
        <v>354</v>
      </c>
      <c r="L635" s="20">
        <f>B647</f>
        <v>15</v>
      </c>
    </row>
    <row r="636" spans="1:12" s="80" customFormat="1" ht="30" customHeight="1">
      <c r="A636" s="113" t="s">
        <v>19</v>
      </c>
      <c r="B636" s="168">
        <v>6</v>
      </c>
      <c r="C636" s="168">
        <v>6</v>
      </c>
      <c r="D636" s="111"/>
      <c r="E636" s="128"/>
      <c r="F636" s="128"/>
      <c r="G636" s="128"/>
      <c r="H636" s="168"/>
      <c r="I636" s="373"/>
      <c r="K636" s="347" t="s">
        <v>395</v>
      </c>
      <c r="L636" s="2">
        <f>D725</f>
        <v>200</v>
      </c>
    </row>
    <row r="637" spans="1:12" s="9" customFormat="1" ht="30" customHeight="1">
      <c r="A637" s="242" t="s">
        <v>380</v>
      </c>
      <c r="B637" s="242"/>
      <c r="C637" s="371">
        <v>50</v>
      </c>
      <c r="D637" s="184"/>
      <c r="E637" s="110"/>
      <c r="F637" s="110"/>
      <c r="G637" s="110"/>
      <c r="H637" s="55"/>
      <c r="I637" s="360" t="s">
        <v>307</v>
      </c>
      <c r="J637" s="80"/>
      <c r="K637" s="105" t="s">
        <v>31</v>
      </c>
      <c r="L637" s="2"/>
    </row>
    <row r="638" spans="1:12" s="9" customFormat="1" ht="30" customHeight="1">
      <c r="A638" s="71" t="s">
        <v>102</v>
      </c>
      <c r="B638" s="336">
        <f>C638*1.02</f>
        <v>25.5</v>
      </c>
      <c r="C638" s="75">
        <v>25</v>
      </c>
      <c r="D638" s="74"/>
      <c r="E638" s="110"/>
      <c r="F638" s="110"/>
      <c r="G638" s="110"/>
      <c r="H638" s="110"/>
      <c r="I638" s="360"/>
      <c r="K638" s="105" t="s">
        <v>77</v>
      </c>
      <c r="L638" s="2"/>
    </row>
    <row r="639" spans="1:12" s="9" customFormat="1" ht="30" customHeight="1">
      <c r="A639" s="72" t="s">
        <v>172</v>
      </c>
      <c r="B639" s="336">
        <f>C639*1.18</f>
        <v>29.5</v>
      </c>
      <c r="C639" s="75">
        <v>25</v>
      </c>
      <c r="D639" s="74"/>
      <c r="E639" s="110"/>
      <c r="F639" s="110"/>
      <c r="G639" s="110"/>
      <c r="H639" s="103"/>
      <c r="I639" s="360"/>
      <c r="J639" s="126"/>
      <c r="K639" s="347" t="s">
        <v>39</v>
      </c>
      <c r="L639" s="2"/>
    </row>
    <row r="640" spans="1:12" s="80" customFormat="1" ht="30" customHeight="1">
      <c r="A640" s="72" t="s">
        <v>101</v>
      </c>
      <c r="B640" s="336">
        <f>C640*1.02</f>
        <v>25.5</v>
      </c>
      <c r="C640" s="75">
        <v>25</v>
      </c>
      <c r="D640" s="184"/>
      <c r="E640" s="110"/>
      <c r="F640" s="110"/>
      <c r="G640" s="110"/>
      <c r="H640" s="110"/>
      <c r="I640" s="360"/>
      <c r="J640" s="9"/>
      <c r="K640" s="105" t="s">
        <v>179</v>
      </c>
      <c r="L640" s="9"/>
    </row>
    <row r="641" spans="1:12" s="9" customFormat="1" ht="30" customHeight="1">
      <c r="A641" s="72" t="s">
        <v>120</v>
      </c>
      <c r="B641" s="336">
        <f>C641*1.05</f>
        <v>26.25</v>
      </c>
      <c r="C641" s="75">
        <v>25</v>
      </c>
      <c r="D641" s="184"/>
      <c r="E641" s="110"/>
      <c r="F641" s="110"/>
      <c r="G641" s="110"/>
      <c r="H641" s="141"/>
      <c r="I641" s="360"/>
      <c r="K641" s="105" t="s">
        <v>32</v>
      </c>
      <c r="L641" s="2">
        <f>C646</f>
        <v>2</v>
      </c>
    </row>
    <row r="642" spans="1:12" s="9" customFormat="1" ht="35.25" customHeight="1">
      <c r="A642" s="511" t="s">
        <v>351</v>
      </c>
      <c r="B642" s="554"/>
      <c r="C642" s="554"/>
      <c r="D642" s="42" t="s">
        <v>512</v>
      </c>
      <c r="E642" s="57">
        <v>3.2</v>
      </c>
      <c r="F642" s="57">
        <v>6.4</v>
      </c>
      <c r="G642" s="57">
        <v>10.8</v>
      </c>
      <c r="H642" s="55">
        <f>G642*4+F642*9+E642*4</f>
        <v>113.60000000000001</v>
      </c>
      <c r="I642" s="432" t="s">
        <v>352</v>
      </c>
      <c r="K642" s="105" t="s">
        <v>180</v>
      </c>
      <c r="L642" s="190">
        <f>C601+C696</f>
        <v>109</v>
      </c>
    </row>
    <row r="643" spans="1:12" s="9" customFormat="1" ht="30" customHeight="1">
      <c r="A643" s="67" t="s">
        <v>138</v>
      </c>
      <c r="B643" s="44">
        <v>20</v>
      </c>
      <c r="C643" s="44">
        <v>20</v>
      </c>
      <c r="D643" s="44"/>
      <c r="E643" s="128"/>
      <c r="F643" s="128"/>
      <c r="G643" s="128"/>
      <c r="H643" s="128"/>
      <c r="I643" s="433"/>
      <c r="K643" s="347" t="s">
        <v>182</v>
      </c>
      <c r="L643" s="20">
        <f>C660+C598</f>
        <v>49</v>
      </c>
    </row>
    <row r="644" spans="1:12" s="9" customFormat="1" ht="30" customHeight="1">
      <c r="A644" s="67" t="s">
        <v>66</v>
      </c>
      <c r="B644" s="44">
        <v>21</v>
      </c>
      <c r="C644" s="44">
        <v>20</v>
      </c>
      <c r="D644" s="44"/>
      <c r="E644" s="128"/>
      <c r="F644" s="56"/>
      <c r="G644" s="56"/>
      <c r="H644" s="55"/>
      <c r="I644" s="433"/>
      <c r="K644" s="105" t="s">
        <v>181</v>
      </c>
      <c r="L644" s="20"/>
    </row>
    <row r="645" spans="1:12" s="9" customFormat="1" ht="30" customHeight="1">
      <c r="A645" s="509" t="s">
        <v>295</v>
      </c>
      <c r="B645" s="509"/>
      <c r="C645" s="509"/>
      <c r="D645" s="22" t="s">
        <v>144</v>
      </c>
      <c r="E645" s="29">
        <v>0.3</v>
      </c>
      <c r="F645" s="29">
        <v>0</v>
      </c>
      <c r="G645" s="29">
        <v>15.2</v>
      </c>
      <c r="H645" s="30">
        <f>G645*4+F645*9+E645*4</f>
        <v>62</v>
      </c>
      <c r="I645" s="394" t="s">
        <v>296</v>
      </c>
      <c r="K645" s="347" t="s">
        <v>183</v>
      </c>
      <c r="L645" s="20"/>
    </row>
    <row r="646" spans="1:12" s="9" customFormat="1" ht="30" customHeight="1">
      <c r="A646" s="72" t="s">
        <v>26</v>
      </c>
      <c r="B646" s="44">
        <v>2</v>
      </c>
      <c r="C646" s="44">
        <v>2</v>
      </c>
      <c r="D646" s="44"/>
      <c r="E646" s="49"/>
      <c r="F646" s="49"/>
      <c r="G646" s="26"/>
      <c r="H646" s="30"/>
      <c r="I646" s="394"/>
      <c r="K646" s="352" t="s">
        <v>184</v>
      </c>
      <c r="L646" s="20">
        <f>+C605+C699++B631</f>
        <v>60</v>
      </c>
    </row>
    <row r="647" spans="1:12" s="9" customFormat="1" ht="30" customHeight="1">
      <c r="A647" s="67" t="s">
        <v>4</v>
      </c>
      <c r="B647" s="44">
        <v>15</v>
      </c>
      <c r="C647" s="44">
        <v>15</v>
      </c>
      <c r="D647" s="44"/>
      <c r="E647" s="49"/>
      <c r="F647" s="49"/>
      <c r="G647" s="26"/>
      <c r="H647" s="30"/>
      <c r="I647" s="394"/>
      <c r="K647" s="352" t="s">
        <v>185</v>
      </c>
      <c r="L647" s="20"/>
    </row>
    <row r="648" spans="1:12" s="9" customFormat="1" ht="30" customHeight="1">
      <c r="A648" s="67" t="s">
        <v>143</v>
      </c>
      <c r="B648" s="44">
        <v>8</v>
      </c>
      <c r="C648" s="44">
        <v>7</v>
      </c>
      <c r="D648" s="44"/>
      <c r="E648" s="49"/>
      <c r="F648" s="49"/>
      <c r="G648" s="49"/>
      <c r="H648" s="49"/>
      <c r="I648" s="391"/>
      <c r="K648" s="347" t="s">
        <v>186</v>
      </c>
      <c r="L648" s="93"/>
    </row>
    <row r="649" spans="1:12" s="9" customFormat="1" ht="30" customHeight="1">
      <c r="A649" s="502" t="s">
        <v>232</v>
      </c>
      <c r="B649" s="502"/>
      <c r="C649" s="502"/>
      <c r="D649" s="31">
        <v>150</v>
      </c>
      <c r="E649" s="32">
        <v>0.2</v>
      </c>
      <c r="F649" s="32">
        <v>0</v>
      </c>
      <c r="G649" s="32">
        <v>8.6</v>
      </c>
      <c r="H649" s="201">
        <f>E649*4+F649*9+G649*4</f>
        <v>35.199999999999996</v>
      </c>
      <c r="I649" s="261" t="s">
        <v>233</v>
      </c>
      <c r="K649" s="347" t="s">
        <v>187</v>
      </c>
      <c r="L649" s="20">
        <f>C723</f>
        <v>15</v>
      </c>
    </row>
    <row r="650" spans="1:13" s="9" customFormat="1" ht="30" customHeight="1">
      <c r="A650" s="434" t="s">
        <v>27</v>
      </c>
      <c r="B650" s="111">
        <v>20</v>
      </c>
      <c r="C650" s="111">
        <v>20</v>
      </c>
      <c r="D650" s="24">
        <v>20</v>
      </c>
      <c r="E650" s="26">
        <v>0.7</v>
      </c>
      <c r="F650" s="26">
        <v>0.2</v>
      </c>
      <c r="G650" s="26">
        <v>9.4</v>
      </c>
      <c r="H650" s="30">
        <v>41.3</v>
      </c>
      <c r="I650" s="374"/>
      <c r="K650" s="347" t="s">
        <v>188</v>
      </c>
      <c r="L650" s="2">
        <f>C644</f>
        <v>20</v>
      </c>
      <c r="M650" s="80"/>
    </row>
    <row r="651" spans="1:12" s="9" customFormat="1" ht="30" customHeight="1">
      <c r="A651" s="516" t="s">
        <v>63</v>
      </c>
      <c r="B651" s="516"/>
      <c r="C651" s="516"/>
      <c r="D651" s="167">
        <f>D652+260+105+D709+D725</f>
        <v>845</v>
      </c>
      <c r="E651" s="53">
        <f>E652+E657+E695+E709+E725+E730+E732</f>
        <v>31.700000000000003</v>
      </c>
      <c r="F651" s="53">
        <f>F652+F657+F695+F709+F725+F730+F732</f>
        <v>31.800000000000004</v>
      </c>
      <c r="G651" s="53">
        <f>G652+G657+G695+G709+G725+G730+G732</f>
        <v>133.7</v>
      </c>
      <c r="H651" s="138">
        <f>H652+H657+H695+H709+H725+H730+H732</f>
        <v>945.8</v>
      </c>
      <c r="I651" s="379"/>
      <c r="K651" s="352" t="s">
        <v>33</v>
      </c>
      <c r="L651" s="20">
        <f>++C708++C678+C636</f>
        <v>16</v>
      </c>
    </row>
    <row r="652" spans="1:13" s="9" customFormat="1" ht="30" customHeight="1">
      <c r="A652" s="502" t="s">
        <v>297</v>
      </c>
      <c r="B652" s="502"/>
      <c r="C652" s="502"/>
      <c r="D652" s="54">
        <v>100</v>
      </c>
      <c r="E652" s="56">
        <v>1.3</v>
      </c>
      <c r="F652" s="56">
        <v>5.1</v>
      </c>
      <c r="G652" s="56">
        <v>7.8</v>
      </c>
      <c r="H652" s="169">
        <f>E652*4+F652*9+G652*4</f>
        <v>82.3</v>
      </c>
      <c r="I652" s="360" t="s">
        <v>298</v>
      </c>
      <c r="K652" s="105" t="s">
        <v>34</v>
      </c>
      <c r="L652" s="20">
        <f>C707+C722+C656+C610</f>
        <v>14.5</v>
      </c>
      <c r="M652" s="126"/>
    </row>
    <row r="653" spans="1:12" s="9" customFormat="1" ht="30" customHeight="1">
      <c r="A653" s="64" t="s">
        <v>17</v>
      </c>
      <c r="B653" s="43">
        <f>C653*1.25</f>
        <v>100</v>
      </c>
      <c r="C653" s="75">
        <v>80</v>
      </c>
      <c r="D653" s="74"/>
      <c r="E653" s="110"/>
      <c r="F653" s="110"/>
      <c r="G653" s="110"/>
      <c r="H653" s="110"/>
      <c r="I653" s="360"/>
      <c r="K653" s="105" t="s">
        <v>189</v>
      </c>
      <c r="L653" s="20">
        <f>C667+C604+C705</f>
        <v>14.2</v>
      </c>
    </row>
    <row r="654" spans="1:11" s="9" customFormat="1" ht="30" customHeight="1">
      <c r="A654" s="64" t="s">
        <v>16</v>
      </c>
      <c r="B654" s="43">
        <f>C654*1.33</f>
        <v>106.4</v>
      </c>
      <c r="C654" s="75">
        <v>80</v>
      </c>
      <c r="D654" s="74"/>
      <c r="E654" s="110"/>
      <c r="F654" s="110"/>
      <c r="G654" s="110"/>
      <c r="H654" s="141"/>
      <c r="I654" s="360"/>
      <c r="K654" s="105" t="s">
        <v>369</v>
      </c>
    </row>
    <row r="655" spans="1:12" s="9" customFormat="1" ht="30" customHeight="1">
      <c r="A655" s="64" t="s">
        <v>129</v>
      </c>
      <c r="B655" s="45">
        <f>C655*1.82</f>
        <v>36.4</v>
      </c>
      <c r="C655" s="75">
        <v>20</v>
      </c>
      <c r="D655" s="74"/>
      <c r="E655" s="103"/>
      <c r="F655" s="103"/>
      <c r="G655" s="103"/>
      <c r="H655" s="103"/>
      <c r="I655" s="386"/>
      <c r="K655" s="105" t="s">
        <v>190</v>
      </c>
      <c r="L655" s="9">
        <v>1.2</v>
      </c>
    </row>
    <row r="656" spans="1:12" s="9" customFormat="1" ht="30" customHeight="1">
      <c r="A656" s="67" t="s">
        <v>11</v>
      </c>
      <c r="B656" s="45">
        <v>5</v>
      </c>
      <c r="C656" s="75">
        <v>5</v>
      </c>
      <c r="D656" s="74"/>
      <c r="E656" s="103"/>
      <c r="F656" s="103"/>
      <c r="G656" s="103"/>
      <c r="H656" s="103"/>
      <c r="I656" s="386"/>
      <c r="K656" s="347" t="s">
        <v>191</v>
      </c>
      <c r="L656" s="9">
        <v>3</v>
      </c>
    </row>
    <row r="657" spans="1:9" s="9" customFormat="1" ht="30" customHeight="1">
      <c r="A657" s="507" t="s">
        <v>299</v>
      </c>
      <c r="B657" s="507"/>
      <c r="C657" s="507"/>
      <c r="D657" s="22" t="s">
        <v>71</v>
      </c>
      <c r="E657" s="56">
        <v>7.1</v>
      </c>
      <c r="F657" s="56">
        <v>8.1</v>
      </c>
      <c r="G657" s="56">
        <v>13.5</v>
      </c>
      <c r="H657" s="55">
        <f>E657*4+F657*9+G657*4</f>
        <v>155.29999999999998</v>
      </c>
      <c r="I657" s="374" t="s">
        <v>300</v>
      </c>
    </row>
    <row r="658" spans="1:10" s="9" customFormat="1" ht="30" customHeight="1">
      <c r="A658" s="70" t="s">
        <v>116</v>
      </c>
      <c r="B658" s="33">
        <v>29</v>
      </c>
      <c r="C658" s="43">
        <v>26</v>
      </c>
      <c r="D658" s="5"/>
      <c r="E658" s="48"/>
      <c r="F658" s="48"/>
      <c r="G658" s="48"/>
      <c r="H658" s="48"/>
      <c r="I658" s="383"/>
      <c r="J658" s="80"/>
    </row>
    <row r="659" spans="1:9" s="9" customFormat="1" ht="30" customHeight="1">
      <c r="A659" s="148" t="s">
        <v>133</v>
      </c>
      <c r="B659" s="61">
        <f>C659*1.04</f>
        <v>18.72</v>
      </c>
      <c r="C659" s="43">
        <v>18</v>
      </c>
      <c r="D659" s="207"/>
      <c r="E659" s="200"/>
      <c r="F659" s="128"/>
      <c r="G659" s="128"/>
      <c r="H659" s="201"/>
      <c r="I659" s="387"/>
    </row>
    <row r="660" spans="1:9" s="9" customFormat="1" ht="30" customHeight="1">
      <c r="A660" s="148" t="s">
        <v>135</v>
      </c>
      <c r="B660" s="61">
        <f>C660*1.048</f>
        <v>14.672</v>
      </c>
      <c r="C660" s="43">
        <v>14</v>
      </c>
      <c r="D660" s="207"/>
      <c r="E660" s="128"/>
      <c r="F660" s="128"/>
      <c r="G660" s="128"/>
      <c r="H660" s="128"/>
      <c r="I660" s="373"/>
    </row>
    <row r="661" spans="1:9" s="9" customFormat="1" ht="30" customHeight="1">
      <c r="A661" s="553" t="s">
        <v>524</v>
      </c>
      <c r="B661" s="553"/>
      <c r="C661" s="553"/>
      <c r="D661" s="22" t="s">
        <v>140</v>
      </c>
      <c r="E661" s="56">
        <v>6.39</v>
      </c>
      <c r="F661" s="56">
        <v>7.29</v>
      </c>
      <c r="G661" s="56">
        <v>13.5</v>
      </c>
      <c r="H661" s="55">
        <f>E661*4+F661*9+G661*4</f>
        <v>145.17000000000002</v>
      </c>
      <c r="I661" s="374" t="s">
        <v>300</v>
      </c>
    </row>
    <row r="662" spans="1:9" s="9" customFormat="1" ht="30" customHeight="1">
      <c r="A662" s="222" t="s">
        <v>301</v>
      </c>
      <c r="B662" s="220"/>
      <c r="C662" s="142">
        <v>15</v>
      </c>
      <c r="D662" s="142"/>
      <c r="E662" s="56"/>
      <c r="F662" s="56"/>
      <c r="G662" s="56"/>
      <c r="H662" s="55"/>
      <c r="I662" s="374" t="s">
        <v>302</v>
      </c>
    </row>
    <row r="663" spans="1:12" s="9" customFormat="1" ht="30" customHeight="1">
      <c r="A663" s="65" t="s">
        <v>90</v>
      </c>
      <c r="B663" s="33">
        <f>C663*1.36</f>
        <v>23.12</v>
      </c>
      <c r="C663" s="43">
        <v>17</v>
      </c>
      <c r="D663" s="5"/>
      <c r="E663" s="128"/>
      <c r="F663" s="128"/>
      <c r="G663" s="128"/>
      <c r="H663" s="168"/>
      <c r="I663" s="373"/>
      <c r="J663" s="16"/>
      <c r="K663" s="16"/>
      <c r="L663" s="16"/>
    </row>
    <row r="664" spans="1:12" s="9" customFormat="1" ht="30" customHeight="1">
      <c r="A664" s="65" t="s">
        <v>91</v>
      </c>
      <c r="B664" s="33">
        <f>C664*1.18</f>
        <v>20.06</v>
      </c>
      <c r="C664" s="5">
        <f>C663</f>
        <v>17</v>
      </c>
      <c r="D664" s="37"/>
      <c r="E664" s="38"/>
      <c r="F664" s="38"/>
      <c r="G664" s="38"/>
      <c r="H664" s="144"/>
      <c r="I664" s="379"/>
      <c r="J664" s="368"/>
      <c r="K664" s="368"/>
      <c r="L664" s="368"/>
    </row>
    <row r="665" spans="1:12" s="9" customFormat="1" ht="30" customHeight="1">
      <c r="A665" s="64" t="s">
        <v>18</v>
      </c>
      <c r="B665" s="45">
        <f>C665*1.19</f>
        <v>1.785</v>
      </c>
      <c r="C665" s="5">
        <v>1.5</v>
      </c>
      <c r="D665" s="37"/>
      <c r="E665" s="38"/>
      <c r="F665" s="38"/>
      <c r="G665" s="38"/>
      <c r="H665" s="144"/>
      <c r="I665" s="379"/>
      <c r="J665" s="368"/>
      <c r="K665" s="368"/>
      <c r="L665" s="368"/>
    </row>
    <row r="666" spans="1:12" s="9" customFormat="1" ht="30" customHeight="1">
      <c r="A666" s="113" t="s">
        <v>69</v>
      </c>
      <c r="B666" s="128">
        <v>1.5</v>
      </c>
      <c r="C666" s="5">
        <v>1.5</v>
      </c>
      <c r="D666" s="37"/>
      <c r="E666" s="38"/>
      <c r="F666" s="38"/>
      <c r="G666" s="38"/>
      <c r="H666" s="144"/>
      <c r="I666" s="379"/>
      <c r="J666" s="16"/>
      <c r="K666" s="89"/>
      <c r="L666" s="89"/>
    </row>
    <row r="667" spans="1:12" s="9" customFormat="1" ht="30" customHeight="1">
      <c r="A667" s="113" t="s">
        <v>88</v>
      </c>
      <c r="B667" s="128">
        <v>1.2</v>
      </c>
      <c r="C667" s="5">
        <v>1.2</v>
      </c>
      <c r="D667" s="37"/>
      <c r="E667" s="38"/>
      <c r="F667" s="38"/>
      <c r="G667" s="38"/>
      <c r="H667" s="144"/>
      <c r="I667" s="379"/>
      <c r="J667" s="16"/>
      <c r="K667" s="16"/>
      <c r="L667" s="16"/>
    </row>
    <row r="668" spans="1:17" s="80" customFormat="1" ht="30" customHeight="1">
      <c r="A668" s="497" t="s">
        <v>525</v>
      </c>
      <c r="B668" s="43"/>
      <c r="C668" s="21">
        <v>20</v>
      </c>
      <c r="D668" s="95"/>
      <c r="E668" s="131"/>
      <c r="F668" s="118"/>
      <c r="G668" s="118"/>
      <c r="H668" s="221"/>
      <c r="I668" s="396" t="s">
        <v>526</v>
      </c>
      <c r="J668" s="9"/>
      <c r="K668" s="9"/>
      <c r="L668" s="9"/>
      <c r="M668" s="9"/>
      <c r="P668" s="9"/>
      <c r="Q668" s="9"/>
    </row>
    <row r="669" spans="1:17" s="80" customFormat="1" ht="30" customHeight="1">
      <c r="A669" s="64" t="s">
        <v>21</v>
      </c>
      <c r="B669" s="35">
        <v>18</v>
      </c>
      <c r="C669" s="35">
        <v>18</v>
      </c>
      <c r="D669" s="95"/>
      <c r="E669" s="131"/>
      <c r="F669" s="118"/>
      <c r="G669" s="118"/>
      <c r="H669" s="229"/>
      <c r="I669" s="373"/>
      <c r="J669" s="9"/>
      <c r="K669" s="9"/>
      <c r="L669" s="9"/>
      <c r="M669" s="9"/>
      <c r="P669" s="9"/>
      <c r="Q669" s="9"/>
    </row>
    <row r="670" spans="1:12" s="9" customFormat="1" ht="30" customHeight="1">
      <c r="A670" s="64" t="s">
        <v>98</v>
      </c>
      <c r="B670" s="35">
        <v>1.2</v>
      </c>
      <c r="C670" s="35">
        <v>1.2</v>
      </c>
      <c r="D670" s="95"/>
      <c r="E670" s="131"/>
      <c r="F670" s="118"/>
      <c r="G670" s="118"/>
      <c r="H670" s="229"/>
      <c r="I670" s="373"/>
      <c r="K670" s="80"/>
      <c r="L670" s="80"/>
    </row>
    <row r="671" spans="1:12" s="9" customFormat="1" ht="30" customHeight="1">
      <c r="A671" s="72" t="s">
        <v>88</v>
      </c>
      <c r="B671" s="35">
        <v>5</v>
      </c>
      <c r="C671" s="35">
        <v>5</v>
      </c>
      <c r="D671" s="95"/>
      <c r="E671" s="131"/>
      <c r="F671" s="118"/>
      <c r="G671" s="118"/>
      <c r="H671" s="229"/>
      <c r="I671" s="373"/>
      <c r="J671" s="80"/>
      <c r="K671" s="80"/>
      <c r="L671" s="80"/>
    </row>
    <row r="672" spans="1:12" s="9" customFormat="1" ht="30" customHeight="1">
      <c r="A672" s="67" t="s">
        <v>69</v>
      </c>
      <c r="B672" s="35">
        <v>3.5</v>
      </c>
      <c r="C672" s="35">
        <v>3.5</v>
      </c>
      <c r="D672" s="95"/>
      <c r="E672" s="131"/>
      <c r="F672" s="118"/>
      <c r="G672" s="118"/>
      <c r="H672" s="229"/>
      <c r="I672" s="373"/>
      <c r="K672" s="80"/>
      <c r="L672" s="80"/>
    </row>
    <row r="673" spans="1:12" s="9" customFormat="1" ht="30" customHeight="1">
      <c r="A673" s="67" t="s">
        <v>57</v>
      </c>
      <c r="B673" s="35">
        <v>0.5</v>
      </c>
      <c r="C673" s="35">
        <v>0.5</v>
      </c>
      <c r="D673" s="95"/>
      <c r="E673" s="131"/>
      <c r="F673" s="118"/>
      <c r="G673" s="118"/>
      <c r="H673" s="229"/>
      <c r="I673" s="373"/>
      <c r="K673" s="80"/>
      <c r="L673" s="80"/>
    </row>
    <row r="674" spans="1:17" s="80" customFormat="1" ht="30" customHeight="1">
      <c r="A674" s="64" t="s">
        <v>99</v>
      </c>
      <c r="B674" s="43">
        <v>20</v>
      </c>
      <c r="C674" s="35">
        <v>20</v>
      </c>
      <c r="D674" s="95"/>
      <c r="E674" s="131"/>
      <c r="F674" s="118"/>
      <c r="G674" s="118"/>
      <c r="H674" s="229"/>
      <c r="I674" s="373"/>
      <c r="J674" s="9"/>
      <c r="K674" s="9"/>
      <c r="L674" s="9"/>
      <c r="M674" s="9"/>
      <c r="N674" s="9"/>
      <c r="O674" s="9"/>
      <c r="P674" s="9"/>
      <c r="Q674" s="9"/>
    </row>
    <row r="675" spans="1:17" s="80" customFormat="1" ht="30" customHeight="1">
      <c r="A675" s="64" t="s">
        <v>67</v>
      </c>
      <c r="B675" s="48">
        <f>C675*1.25</f>
        <v>12.5</v>
      </c>
      <c r="C675" s="5">
        <v>10</v>
      </c>
      <c r="D675" s="95"/>
      <c r="E675" s="128"/>
      <c r="F675" s="128"/>
      <c r="G675" s="118"/>
      <c r="H675" s="229"/>
      <c r="I675" s="374"/>
      <c r="J675" s="9"/>
      <c r="K675" s="155"/>
      <c r="L675" s="155"/>
      <c r="M675" s="9"/>
      <c r="N675" s="9"/>
      <c r="O675" s="9"/>
      <c r="P675" s="9"/>
      <c r="Q675" s="9"/>
    </row>
    <row r="676" spans="1:17" s="126" customFormat="1" ht="30" customHeight="1">
      <c r="A676" s="64" t="s">
        <v>16</v>
      </c>
      <c r="B676" s="48">
        <f>C676*1.33</f>
        <v>13.3</v>
      </c>
      <c r="C676" s="5">
        <v>10</v>
      </c>
      <c r="D676" s="95"/>
      <c r="E676" s="128"/>
      <c r="F676" s="128"/>
      <c r="G676" s="118"/>
      <c r="H676" s="229"/>
      <c r="I676" s="374"/>
      <c r="J676" s="9"/>
      <c r="K676" s="9"/>
      <c r="L676" s="9"/>
      <c r="M676" s="9"/>
      <c r="N676" s="9"/>
      <c r="O676" s="9"/>
      <c r="P676" s="9"/>
      <c r="Q676" s="9"/>
    </row>
    <row r="677" spans="1:12" s="9" customFormat="1" ht="30" customHeight="1">
      <c r="A677" s="64" t="s">
        <v>18</v>
      </c>
      <c r="B677" s="45">
        <f>C677*1.19</f>
        <v>11.899999999999999</v>
      </c>
      <c r="C677" s="5">
        <v>10</v>
      </c>
      <c r="D677" s="95"/>
      <c r="E677" s="128"/>
      <c r="F677" s="128"/>
      <c r="G677" s="118"/>
      <c r="H677" s="229"/>
      <c r="I677" s="374"/>
      <c r="K677" s="80"/>
      <c r="L677" s="80"/>
    </row>
    <row r="678" spans="1:12" s="9" customFormat="1" ht="30" customHeight="1">
      <c r="A678" s="113" t="s">
        <v>19</v>
      </c>
      <c r="B678" s="111">
        <v>5</v>
      </c>
      <c r="C678" s="111">
        <v>5</v>
      </c>
      <c r="D678" s="111"/>
      <c r="E678" s="128"/>
      <c r="F678" s="128"/>
      <c r="G678" s="118"/>
      <c r="H678" s="229"/>
      <c r="I678" s="374"/>
      <c r="K678" s="80"/>
      <c r="L678" s="80"/>
    </row>
    <row r="679" spans="1:12" s="9" customFormat="1" ht="30" customHeight="1">
      <c r="A679" s="67" t="s">
        <v>78</v>
      </c>
      <c r="B679" s="48">
        <v>0.2</v>
      </c>
      <c r="C679" s="48">
        <v>0.2</v>
      </c>
      <c r="D679" s="37"/>
      <c r="E679" s="38"/>
      <c r="F679" s="38"/>
      <c r="G679" s="38"/>
      <c r="H679" s="144"/>
      <c r="I679" s="379"/>
      <c r="K679" s="80"/>
      <c r="L679" s="80"/>
    </row>
    <row r="680" spans="1:12" s="9" customFormat="1" ht="30" customHeight="1">
      <c r="A680" s="504" t="s">
        <v>452</v>
      </c>
      <c r="B680" s="504"/>
      <c r="C680" s="504"/>
      <c r="D680" s="24" t="s">
        <v>35</v>
      </c>
      <c r="E680" s="26">
        <v>17.142857142857142</v>
      </c>
      <c r="F680" s="26">
        <v>9.714285714285714</v>
      </c>
      <c r="G680" s="26">
        <v>11.571428571428573</v>
      </c>
      <c r="H680" s="30">
        <f>G680*4+F680*9+E680*4</f>
        <v>202.28571428571428</v>
      </c>
      <c r="I680" s="474" t="s">
        <v>453</v>
      </c>
      <c r="J680" s="80"/>
      <c r="K680" s="80"/>
      <c r="L680" s="80"/>
    </row>
    <row r="681" spans="1:12" s="9" customFormat="1" ht="30" customHeight="1">
      <c r="A681" s="70" t="s">
        <v>116</v>
      </c>
      <c r="B681" s="61">
        <f>C681*2.32</f>
        <v>185.6</v>
      </c>
      <c r="C681" s="475">
        <v>80</v>
      </c>
      <c r="D681" s="111"/>
      <c r="E681" s="128"/>
      <c r="F681" s="128"/>
      <c r="G681" s="128"/>
      <c r="H681" s="128"/>
      <c r="I681" s="444"/>
      <c r="K681" s="80"/>
      <c r="L681" s="80"/>
    </row>
    <row r="682" spans="1:17" s="80" customFormat="1" ht="30" customHeight="1">
      <c r="A682" s="148" t="s">
        <v>158</v>
      </c>
      <c r="B682" s="61">
        <f>C682*1.34</f>
        <v>107.2</v>
      </c>
      <c r="C682" s="475">
        <v>80</v>
      </c>
      <c r="D682" s="111"/>
      <c r="E682" s="128"/>
      <c r="F682" s="128"/>
      <c r="G682" s="128"/>
      <c r="H682" s="168"/>
      <c r="I682" s="476"/>
      <c r="J682" s="9"/>
      <c r="K682" s="9"/>
      <c r="L682" s="9"/>
      <c r="M682" s="9"/>
      <c r="N682" s="9"/>
      <c r="O682" s="9"/>
      <c r="P682" s="9"/>
      <c r="Q682" s="9"/>
    </row>
    <row r="683" spans="1:9" s="9" customFormat="1" ht="30" customHeight="1">
      <c r="A683" s="148" t="s">
        <v>135</v>
      </c>
      <c r="B683" s="61">
        <f>C683*1.054</f>
        <v>84.32000000000001</v>
      </c>
      <c r="C683" s="475">
        <v>80</v>
      </c>
      <c r="D683" s="111"/>
      <c r="E683" s="128"/>
      <c r="F683" s="128"/>
      <c r="G683" s="128"/>
      <c r="H683" s="168"/>
      <c r="I683" s="476"/>
    </row>
    <row r="684" spans="1:9" s="9" customFormat="1" ht="30" customHeight="1">
      <c r="A684" s="71" t="s">
        <v>10</v>
      </c>
      <c r="B684" s="115">
        <v>17</v>
      </c>
      <c r="C684" s="75">
        <v>17</v>
      </c>
      <c r="D684" s="111"/>
      <c r="E684" s="46"/>
      <c r="F684" s="49"/>
      <c r="G684" s="49"/>
      <c r="H684" s="45"/>
      <c r="I684" s="398"/>
    </row>
    <row r="685" spans="1:17" s="9" customFormat="1" ht="30" customHeight="1">
      <c r="A685" s="71" t="s">
        <v>56</v>
      </c>
      <c r="B685" s="115">
        <v>14</v>
      </c>
      <c r="C685" s="75">
        <v>14</v>
      </c>
      <c r="D685" s="111"/>
      <c r="E685" s="46"/>
      <c r="F685" s="49"/>
      <c r="G685" s="49"/>
      <c r="H685" s="45"/>
      <c r="I685" s="398"/>
      <c r="M685" s="121"/>
      <c r="N685" s="121"/>
      <c r="O685" s="121"/>
      <c r="P685" s="121"/>
      <c r="Q685" s="121"/>
    </row>
    <row r="686" spans="1:17" s="9" customFormat="1" ht="30" customHeight="1">
      <c r="A686" s="468" t="s">
        <v>41</v>
      </c>
      <c r="B686" s="469">
        <f>B685*460/1000</f>
        <v>6.44</v>
      </c>
      <c r="C686" s="469">
        <f>C685*460/1000</f>
        <v>6.44</v>
      </c>
      <c r="D686" s="111"/>
      <c r="E686" s="128"/>
      <c r="F686" s="128"/>
      <c r="G686" s="128"/>
      <c r="H686" s="111"/>
      <c r="I686" s="464"/>
      <c r="M686" s="1"/>
      <c r="N686" s="1"/>
      <c r="O686" s="1"/>
      <c r="P686" s="1"/>
      <c r="Q686" s="1"/>
    </row>
    <row r="687" spans="1:17" s="9" customFormat="1" ht="30" customHeight="1">
      <c r="A687" s="468" t="s">
        <v>42</v>
      </c>
      <c r="B687" s="469">
        <f>B685*120/1000</f>
        <v>1.68</v>
      </c>
      <c r="C687" s="469">
        <f>C685*120/1000</f>
        <v>1.68</v>
      </c>
      <c r="D687" s="111"/>
      <c r="E687" s="128"/>
      <c r="F687" s="128"/>
      <c r="G687" s="128"/>
      <c r="H687" s="111"/>
      <c r="I687" s="464"/>
      <c r="M687" s="1"/>
      <c r="N687" s="1"/>
      <c r="O687" s="1"/>
      <c r="P687" s="1"/>
      <c r="Q687" s="1"/>
    </row>
    <row r="688" spans="1:17" s="9" customFormat="1" ht="30" customHeight="1">
      <c r="A688" s="470" t="s">
        <v>447</v>
      </c>
      <c r="B688" s="471">
        <f>B685-B686</f>
        <v>7.56</v>
      </c>
      <c r="C688" s="471">
        <f>C685-C686</f>
        <v>7.56</v>
      </c>
      <c r="D688" s="111"/>
      <c r="E688" s="448"/>
      <c r="F688" s="448"/>
      <c r="G688" s="448"/>
      <c r="H688" s="472"/>
      <c r="I688" s="464"/>
      <c r="K688" s="80"/>
      <c r="L688" s="80"/>
      <c r="M688" s="1"/>
      <c r="N688" s="1"/>
      <c r="O688" s="1"/>
      <c r="P688" s="1"/>
      <c r="Q688" s="1"/>
    </row>
    <row r="689" spans="1:17" s="9" customFormat="1" ht="30" customHeight="1">
      <c r="A689" s="470" t="s">
        <v>448</v>
      </c>
      <c r="B689" s="471">
        <f>B685-B687</f>
        <v>12.32</v>
      </c>
      <c r="C689" s="471">
        <f>C685-C687</f>
        <v>12.32</v>
      </c>
      <c r="D689" s="111"/>
      <c r="E689" s="448"/>
      <c r="F689" s="448"/>
      <c r="G689" s="448"/>
      <c r="H689" s="472"/>
      <c r="I689" s="464"/>
      <c r="J689" s="80"/>
      <c r="K689" s="80"/>
      <c r="L689" s="80"/>
      <c r="M689" s="1"/>
      <c r="P689" s="1"/>
      <c r="Q689" s="1"/>
    </row>
    <row r="690" spans="1:17" s="80" customFormat="1" ht="30" customHeight="1">
      <c r="A690" s="71" t="s">
        <v>88</v>
      </c>
      <c r="B690" s="115">
        <v>6</v>
      </c>
      <c r="C690" s="75">
        <v>6</v>
      </c>
      <c r="D690" s="111"/>
      <c r="E690" s="46"/>
      <c r="F690" s="49"/>
      <c r="G690" s="49"/>
      <c r="H690" s="45"/>
      <c r="I690" s="398"/>
      <c r="J690" s="9"/>
      <c r="M690" s="82"/>
      <c r="P690" s="82"/>
      <c r="Q690" s="82"/>
    </row>
    <row r="691" spans="1:17" s="9" customFormat="1" ht="30" customHeight="1">
      <c r="A691" s="119" t="s">
        <v>21</v>
      </c>
      <c r="B691" s="363">
        <v>10</v>
      </c>
      <c r="C691" s="363">
        <v>10</v>
      </c>
      <c r="D691" s="111"/>
      <c r="E691" s="477"/>
      <c r="F691" s="477"/>
      <c r="G691" s="477"/>
      <c r="H691" s="363"/>
      <c r="I691" s="478"/>
      <c r="M691" s="82"/>
      <c r="P691" s="82"/>
      <c r="Q691" s="82"/>
    </row>
    <row r="692" spans="1:17" s="9" customFormat="1" ht="30" customHeight="1">
      <c r="A692" s="119" t="s">
        <v>11</v>
      </c>
      <c r="B692" s="363">
        <v>2.5</v>
      </c>
      <c r="C692" s="363">
        <v>2.5</v>
      </c>
      <c r="D692" s="111"/>
      <c r="E692" s="477"/>
      <c r="F692" s="477"/>
      <c r="G692" s="477"/>
      <c r="H692" s="363"/>
      <c r="I692" s="478"/>
      <c r="M692" s="1"/>
      <c r="P692" s="1"/>
      <c r="Q692" s="1"/>
    </row>
    <row r="693" spans="1:17" s="9" customFormat="1" ht="30" customHeight="1">
      <c r="A693" s="64" t="s">
        <v>40</v>
      </c>
      <c r="B693" s="5">
        <v>5</v>
      </c>
      <c r="C693" s="5">
        <v>5</v>
      </c>
      <c r="D693" s="142"/>
      <c r="E693" s="128"/>
      <c r="F693" s="128"/>
      <c r="G693" s="128"/>
      <c r="H693" s="111"/>
      <c r="I693" s="433"/>
      <c r="J693" s="80"/>
      <c r="M693" s="82"/>
      <c r="P693" s="82"/>
      <c r="Q693" s="82"/>
    </row>
    <row r="694" spans="1:17" s="9" customFormat="1" ht="30" customHeight="1">
      <c r="A694" s="518" t="s">
        <v>76</v>
      </c>
      <c r="B694" s="518"/>
      <c r="C694" s="518"/>
      <c r="D694" s="518"/>
      <c r="E694" s="518"/>
      <c r="F694" s="518"/>
      <c r="G694" s="518"/>
      <c r="H694" s="518"/>
      <c r="I694" s="518"/>
      <c r="J694" s="80"/>
      <c r="M694" s="82"/>
      <c r="P694" s="82"/>
      <c r="Q694" s="82"/>
    </row>
    <row r="695" spans="1:17" s="9" customFormat="1" ht="30" customHeight="1">
      <c r="A695" s="509" t="s">
        <v>399</v>
      </c>
      <c r="B695" s="509"/>
      <c r="C695" s="509"/>
      <c r="D695" s="22" t="s">
        <v>35</v>
      </c>
      <c r="E695" s="56">
        <v>14.8</v>
      </c>
      <c r="F695" s="56">
        <v>13.9</v>
      </c>
      <c r="G695" s="56">
        <v>12</v>
      </c>
      <c r="H695" s="55">
        <f>G695*4+F695*9+E695*4</f>
        <v>232.3</v>
      </c>
      <c r="I695" s="260" t="s">
        <v>246</v>
      </c>
      <c r="J695" s="80"/>
      <c r="M695" s="121"/>
      <c r="P695" s="121"/>
      <c r="Q695" s="121"/>
    </row>
    <row r="696" spans="1:17" s="9" customFormat="1" ht="30" customHeight="1">
      <c r="A696" s="65" t="s">
        <v>90</v>
      </c>
      <c r="B696" s="33">
        <f>C696*1.36</f>
        <v>100.64</v>
      </c>
      <c r="C696" s="5">
        <v>74</v>
      </c>
      <c r="D696" s="44"/>
      <c r="E696" s="128"/>
      <c r="F696" s="128"/>
      <c r="G696" s="128"/>
      <c r="H696" s="128"/>
      <c r="I696" s="373"/>
      <c r="J696" s="80"/>
      <c r="M696" s="82"/>
      <c r="P696" s="82"/>
      <c r="Q696" s="82"/>
    </row>
    <row r="697" spans="1:17" s="9" customFormat="1" ht="30" customHeight="1">
      <c r="A697" s="65" t="s">
        <v>91</v>
      </c>
      <c r="B697" s="33">
        <f>C697*1.18</f>
        <v>87.32</v>
      </c>
      <c r="C697" s="5">
        <f>C696</f>
        <v>74</v>
      </c>
      <c r="D697" s="213"/>
      <c r="E697" s="38"/>
      <c r="F697" s="38"/>
      <c r="G697" s="38"/>
      <c r="H697" s="144"/>
      <c r="I697" s="379"/>
      <c r="J697" s="80"/>
      <c r="M697" s="82"/>
      <c r="P697" s="82"/>
      <c r="Q697" s="82"/>
    </row>
    <row r="698" spans="1:17" s="9" customFormat="1" ht="30" customHeight="1">
      <c r="A698" s="64" t="s">
        <v>10</v>
      </c>
      <c r="B698" s="5">
        <v>18</v>
      </c>
      <c r="C698" s="5">
        <v>18</v>
      </c>
      <c r="D698" s="142"/>
      <c r="E698" s="331"/>
      <c r="F698" s="56"/>
      <c r="G698" s="56"/>
      <c r="H698" s="55"/>
      <c r="I698" s="374"/>
      <c r="J698" s="80"/>
      <c r="M698" s="1"/>
      <c r="P698" s="1"/>
      <c r="Q698" s="1"/>
    </row>
    <row r="699" spans="1:17" s="9" customFormat="1" ht="30" customHeight="1">
      <c r="A699" s="113" t="s">
        <v>249</v>
      </c>
      <c r="B699" s="111">
        <v>12</v>
      </c>
      <c r="C699" s="111">
        <v>12</v>
      </c>
      <c r="D699" s="371"/>
      <c r="E699" s="331"/>
      <c r="F699" s="128"/>
      <c r="G699" s="128"/>
      <c r="H699" s="168"/>
      <c r="I699" s="373"/>
      <c r="M699" s="1"/>
      <c r="P699" s="1"/>
      <c r="Q699" s="1"/>
    </row>
    <row r="700" spans="1:17" s="9" customFormat="1" ht="30" customHeight="1">
      <c r="A700" s="73" t="s">
        <v>41</v>
      </c>
      <c r="B700" s="243">
        <f>B699*460/1000</f>
        <v>5.52</v>
      </c>
      <c r="C700" s="243">
        <f>C699*460/1000</f>
        <v>5.52</v>
      </c>
      <c r="D700" s="194"/>
      <c r="E700" s="56"/>
      <c r="F700" s="56"/>
      <c r="G700" s="56"/>
      <c r="H700" s="55"/>
      <c r="I700" s="373"/>
      <c r="M700" s="82"/>
      <c r="P700" s="82"/>
      <c r="Q700" s="82"/>
    </row>
    <row r="701" spans="1:17" s="9" customFormat="1" ht="30" customHeight="1">
      <c r="A701" s="73" t="s">
        <v>42</v>
      </c>
      <c r="B701" s="243">
        <f>B699*120/1000</f>
        <v>1.44</v>
      </c>
      <c r="C701" s="243">
        <f>C699*120/1000</f>
        <v>1.44</v>
      </c>
      <c r="D701" s="194"/>
      <c r="E701" s="56"/>
      <c r="F701" s="56"/>
      <c r="G701" s="56"/>
      <c r="H701" s="55"/>
      <c r="I701" s="373"/>
      <c r="M701" s="82"/>
      <c r="P701" s="82"/>
      <c r="Q701" s="82"/>
    </row>
    <row r="702" spans="1:17" s="80" customFormat="1" ht="38.25" customHeight="1">
      <c r="A702" s="230" t="s">
        <v>156</v>
      </c>
      <c r="B702" s="231">
        <f>B699-B700</f>
        <v>6.48</v>
      </c>
      <c r="C702" s="231">
        <f>C699-C700</f>
        <v>6.48</v>
      </c>
      <c r="D702" s="232"/>
      <c r="E702" s="233"/>
      <c r="F702" s="233"/>
      <c r="G702" s="233"/>
      <c r="H702" s="234"/>
      <c r="I702" s="377"/>
      <c r="J702" s="9"/>
      <c r="M702" s="1"/>
      <c r="P702" s="1"/>
      <c r="Q702" s="1"/>
    </row>
    <row r="703" spans="1:17" s="9" customFormat="1" ht="30" customHeight="1">
      <c r="A703" s="230" t="s">
        <v>157</v>
      </c>
      <c r="B703" s="231">
        <f>B699-B701</f>
        <v>10.56</v>
      </c>
      <c r="C703" s="231">
        <f>C699-C701</f>
        <v>10.56</v>
      </c>
      <c r="D703" s="232"/>
      <c r="E703" s="233"/>
      <c r="F703" s="233"/>
      <c r="G703" s="233"/>
      <c r="H703" s="234"/>
      <c r="I703" s="377"/>
      <c r="M703" s="1"/>
      <c r="P703" s="1"/>
      <c r="Q703" s="1"/>
    </row>
    <row r="704" spans="1:17" s="9" customFormat="1" ht="30" customHeight="1">
      <c r="A704" s="67" t="s">
        <v>18</v>
      </c>
      <c r="B704" s="45">
        <f>C704*1.19</f>
        <v>9.52</v>
      </c>
      <c r="C704" s="44">
        <v>8</v>
      </c>
      <c r="D704" s="142"/>
      <c r="E704" s="331"/>
      <c r="F704" s="128"/>
      <c r="G704" s="128"/>
      <c r="H704" s="168"/>
      <c r="I704" s="373"/>
      <c r="M704" s="1"/>
      <c r="P704" s="1"/>
      <c r="Q704" s="1"/>
    </row>
    <row r="705" spans="1:17" s="80" customFormat="1" ht="30" customHeight="1">
      <c r="A705" s="72" t="s">
        <v>88</v>
      </c>
      <c r="B705" s="205">
        <v>4</v>
      </c>
      <c r="C705" s="205">
        <v>4</v>
      </c>
      <c r="D705" s="221"/>
      <c r="E705" s="49"/>
      <c r="F705" s="49"/>
      <c r="G705" s="49"/>
      <c r="H705" s="45"/>
      <c r="I705" s="391"/>
      <c r="J705" s="9"/>
      <c r="M705" s="9"/>
      <c r="P705" s="9"/>
      <c r="Q705" s="9"/>
    </row>
    <row r="706" spans="1:17" s="80" customFormat="1" ht="30" customHeight="1">
      <c r="A706" s="72" t="s">
        <v>171</v>
      </c>
      <c r="B706" s="205">
        <v>10</v>
      </c>
      <c r="C706" s="205">
        <v>10</v>
      </c>
      <c r="D706" s="221"/>
      <c r="E706" s="49"/>
      <c r="F706" s="49"/>
      <c r="G706" s="49"/>
      <c r="H706" s="45"/>
      <c r="I706" s="391"/>
      <c r="J706" s="9"/>
      <c r="M706" s="9"/>
      <c r="P706" s="9"/>
      <c r="Q706" s="9"/>
    </row>
    <row r="707" spans="1:17" s="80" customFormat="1" ht="30" customHeight="1">
      <c r="A707" s="67" t="s">
        <v>11</v>
      </c>
      <c r="B707" s="5">
        <v>2</v>
      </c>
      <c r="C707" s="5">
        <v>2</v>
      </c>
      <c r="D707" s="142"/>
      <c r="E707" s="331"/>
      <c r="F707" s="128"/>
      <c r="G707" s="128"/>
      <c r="H707" s="168"/>
      <c r="I707" s="373"/>
      <c r="M707" s="9"/>
      <c r="P707" s="9"/>
      <c r="Q707" s="9"/>
    </row>
    <row r="708" spans="1:17" s="80" customFormat="1" ht="30" customHeight="1">
      <c r="A708" s="113" t="s">
        <v>40</v>
      </c>
      <c r="B708" s="111">
        <v>5</v>
      </c>
      <c r="C708" s="111">
        <v>5</v>
      </c>
      <c r="D708" s="371"/>
      <c r="E708" s="128"/>
      <c r="F708" s="128"/>
      <c r="G708" s="128"/>
      <c r="H708" s="168"/>
      <c r="I708" s="373"/>
      <c r="J708" s="126"/>
      <c r="M708" s="9"/>
      <c r="P708" s="9"/>
      <c r="Q708" s="9"/>
    </row>
    <row r="709" spans="1:17" s="80" customFormat="1" ht="30.75" customHeight="1">
      <c r="A709" s="337" t="s">
        <v>303</v>
      </c>
      <c r="B709" s="329"/>
      <c r="C709" s="329"/>
      <c r="D709" s="22">
        <v>180</v>
      </c>
      <c r="E709" s="29">
        <v>3.4</v>
      </c>
      <c r="F709" s="29">
        <v>3.7</v>
      </c>
      <c r="G709" s="29">
        <v>22.7</v>
      </c>
      <c r="H709" s="55">
        <f>E709*4+F709*9+G709*4</f>
        <v>137.7</v>
      </c>
      <c r="I709" s="394" t="s">
        <v>304</v>
      </c>
      <c r="J709" s="9"/>
      <c r="M709" s="9"/>
      <c r="P709" s="9"/>
      <c r="Q709" s="9"/>
    </row>
    <row r="710" spans="1:17" s="80" customFormat="1" ht="30" customHeight="1">
      <c r="A710" s="64" t="s">
        <v>61</v>
      </c>
      <c r="B710" s="43">
        <f>C710*1.25</f>
        <v>112.5</v>
      </c>
      <c r="C710" s="5">
        <v>90</v>
      </c>
      <c r="D710" s="338"/>
      <c r="E710" s="338"/>
      <c r="F710" s="338"/>
      <c r="G710" s="338"/>
      <c r="H710" s="338"/>
      <c r="I710" s="402"/>
      <c r="J710" s="9"/>
      <c r="M710" s="9"/>
      <c r="P710" s="9"/>
      <c r="Q710" s="9"/>
    </row>
    <row r="711" spans="1:9" s="9" customFormat="1" ht="30" customHeight="1">
      <c r="A711" s="64" t="s">
        <v>148</v>
      </c>
      <c r="B711" s="43">
        <f>C711*1.54</f>
        <v>55.44</v>
      </c>
      <c r="C711" s="5">
        <v>36</v>
      </c>
      <c r="D711" s="338"/>
      <c r="E711" s="338"/>
      <c r="F711" s="338"/>
      <c r="G711" s="339"/>
      <c r="H711" s="339"/>
      <c r="I711" s="402"/>
    </row>
    <row r="712" spans="1:17" s="9" customFormat="1" ht="30" customHeight="1">
      <c r="A712" s="72" t="s">
        <v>382</v>
      </c>
      <c r="B712" s="198">
        <f>C712*1.49</f>
        <v>53.64</v>
      </c>
      <c r="C712" s="241">
        <f>C711</f>
        <v>36</v>
      </c>
      <c r="D712" s="338"/>
      <c r="E712" s="338"/>
      <c r="F712" s="338"/>
      <c r="G712" s="339"/>
      <c r="H712" s="339"/>
      <c r="I712" s="403"/>
      <c r="M712" s="80"/>
      <c r="P712" s="80"/>
      <c r="Q712" s="80"/>
    </row>
    <row r="713" spans="1:9" s="9" customFormat="1" ht="30" customHeight="1">
      <c r="A713" s="72" t="s">
        <v>383</v>
      </c>
      <c r="B713" s="198">
        <f>C713*1.33</f>
        <v>47.88</v>
      </c>
      <c r="C713" s="241">
        <f>C712</f>
        <v>36</v>
      </c>
      <c r="D713" s="338"/>
      <c r="E713" s="338"/>
      <c r="F713" s="338"/>
      <c r="G713" s="339"/>
      <c r="H713" s="339"/>
      <c r="I713" s="403"/>
    </row>
    <row r="714" spans="1:9" s="9" customFormat="1" ht="30" customHeight="1">
      <c r="A714" s="72" t="s">
        <v>393</v>
      </c>
      <c r="B714" s="198">
        <f>C714*1.05</f>
        <v>37.800000000000004</v>
      </c>
      <c r="C714" s="241">
        <f>C713</f>
        <v>36</v>
      </c>
      <c r="D714" s="338"/>
      <c r="E714" s="338"/>
      <c r="F714" s="338"/>
      <c r="G714" s="339"/>
      <c r="H714" s="339"/>
      <c r="I714" s="403"/>
    </row>
    <row r="715" spans="1:9" s="9" customFormat="1" ht="30" customHeight="1">
      <c r="A715" s="64" t="s">
        <v>67</v>
      </c>
      <c r="B715" s="43">
        <f>C715*1.25</f>
        <v>22.5</v>
      </c>
      <c r="C715" s="5">
        <v>18</v>
      </c>
      <c r="D715" s="338"/>
      <c r="E715" s="338"/>
      <c r="F715" s="338"/>
      <c r="G715" s="339"/>
      <c r="H715" s="339"/>
      <c r="I715" s="402"/>
    </row>
    <row r="716" spans="1:17" s="9" customFormat="1" ht="30" customHeight="1">
      <c r="A716" s="64" t="s">
        <v>16</v>
      </c>
      <c r="B716" s="43">
        <f>C716*1.33</f>
        <v>23.94</v>
      </c>
      <c r="C716" s="5">
        <v>18</v>
      </c>
      <c r="D716" s="338"/>
      <c r="E716" s="338"/>
      <c r="F716" s="338"/>
      <c r="G716" s="339"/>
      <c r="H716" s="339"/>
      <c r="I716" s="402"/>
      <c r="J716" s="80"/>
      <c r="M716" s="80"/>
      <c r="P716" s="80"/>
      <c r="Q716" s="80"/>
    </row>
    <row r="717" spans="1:13" s="156" customFormat="1" ht="30" customHeight="1">
      <c r="A717" s="64" t="s">
        <v>12</v>
      </c>
      <c r="B717" s="43">
        <f>C717*1.33</f>
        <v>47.88</v>
      </c>
      <c r="C717" s="5">
        <v>36</v>
      </c>
      <c r="D717" s="338"/>
      <c r="E717" s="338"/>
      <c r="F717" s="338"/>
      <c r="G717" s="338"/>
      <c r="H717" s="338"/>
      <c r="I717" s="402"/>
      <c r="J717" s="80"/>
      <c r="M717" s="9"/>
    </row>
    <row r="718" spans="1:15" s="80" customFormat="1" ht="30" customHeight="1">
      <c r="A718" s="64" t="s">
        <v>13</v>
      </c>
      <c r="B718" s="43">
        <f>C718*1.43</f>
        <v>51.48</v>
      </c>
      <c r="C718" s="5">
        <v>36</v>
      </c>
      <c r="D718" s="338"/>
      <c r="E718" s="338"/>
      <c r="F718" s="338"/>
      <c r="G718" s="338"/>
      <c r="H718" s="338"/>
      <c r="I718" s="402"/>
      <c r="J718" s="9"/>
      <c r="M718" s="9"/>
      <c r="N718" s="9"/>
      <c r="O718" s="9"/>
    </row>
    <row r="719" spans="1:15" s="80" customFormat="1" ht="30" customHeight="1">
      <c r="A719" s="64" t="s">
        <v>14</v>
      </c>
      <c r="B719" s="43">
        <f>C719*1.54</f>
        <v>55.44</v>
      </c>
      <c r="C719" s="5">
        <v>36</v>
      </c>
      <c r="D719" s="338"/>
      <c r="E719" s="338"/>
      <c r="F719" s="338"/>
      <c r="G719" s="338"/>
      <c r="H719" s="338"/>
      <c r="I719" s="402"/>
      <c r="J719" s="126"/>
      <c r="M719" s="9"/>
      <c r="N719" s="9"/>
      <c r="O719" s="9"/>
    </row>
    <row r="720" spans="1:15" s="80" customFormat="1" ht="30" customHeight="1">
      <c r="A720" s="67" t="s">
        <v>15</v>
      </c>
      <c r="B720" s="43">
        <f>C720*1.67</f>
        <v>60.12</v>
      </c>
      <c r="C720" s="5">
        <v>36</v>
      </c>
      <c r="D720" s="338"/>
      <c r="E720" s="338"/>
      <c r="F720" s="338"/>
      <c r="G720" s="339"/>
      <c r="H720" s="339"/>
      <c r="I720" s="402"/>
      <c r="J720" s="9"/>
      <c r="M720" s="9"/>
      <c r="N720" s="9"/>
      <c r="O720" s="9"/>
    </row>
    <row r="721" spans="1:15" s="80" customFormat="1" ht="30" customHeight="1">
      <c r="A721" s="64" t="s">
        <v>18</v>
      </c>
      <c r="B721" s="45">
        <f>C721*1.19</f>
        <v>21.419999999999998</v>
      </c>
      <c r="C721" s="5">
        <v>18</v>
      </c>
      <c r="D721" s="338"/>
      <c r="E721" s="338"/>
      <c r="F721" s="338"/>
      <c r="G721" s="339"/>
      <c r="H721" s="339"/>
      <c r="I721" s="402"/>
      <c r="M721" s="9"/>
      <c r="N721" s="9"/>
      <c r="O721" s="9"/>
    </row>
    <row r="722" spans="1:10" s="80" customFormat="1" ht="30" customHeight="1">
      <c r="A722" s="64" t="s">
        <v>11</v>
      </c>
      <c r="B722" s="43">
        <v>5</v>
      </c>
      <c r="C722" s="43">
        <v>5</v>
      </c>
      <c r="D722" s="338"/>
      <c r="E722" s="338"/>
      <c r="F722" s="338"/>
      <c r="G722" s="339"/>
      <c r="H722" s="339"/>
      <c r="I722" s="402"/>
      <c r="J722" s="9"/>
    </row>
    <row r="723" spans="1:15" s="80" customFormat="1" ht="30" customHeight="1">
      <c r="A723" s="64" t="s">
        <v>62</v>
      </c>
      <c r="B723" s="43">
        <v>15</v>
      </c>
      <c r="C723" s="43">
        <v>15</v>
      </c>
      <c r="D723" s="338"/>
      <c r="E723" s="338"/>
      <c r="F723" s="338"/>
      <c r="G723" s="339"/>
      <c r="H723" s="339"/>
      <c r="I723" s="402"/>
      <c r="J723" s="9"/>
      <c r="O723" s="9"/>
    </row>
    <row r="724" spans="1:15" s="80" customFormat="1" ht="30" customHeight="1">
      <c r="A724" s="64" t="s">
        <v>21</v>
      </c>
      <c r="B724" s="5">
        <v>1.5</v>
      </c>
      <c r="C724" s="5">
        <v>1.5</v>
      </c>
      <c r="D724" s="338"/>
      <c r="E724" s="338"/>
      <c r="F724" s="338"/>
      <c r="G724" s="339"/>
      <c r="H724" s="339"/>
      <c r="I724" s="402"/>
      <c r="J724" s="9"/>
      <c r="O724" s="9"/>
    </row>
    <row r="725" spans="1:15" s="80" customFormat="1" ht="30" customHeight="1">
      <c r="A725" s="242" t="s">
        <v>523</v>
      </c>
      <c r="B725" s="54">
        <v>200</v>
      </c>
      <c r="C725" s="54">
        <v>200</v>
      </c>
      <c r="D725" s="54">
        <v>200</v>
      </c>
      <c r="E725" s="56">
        <v>0.5</v>
      </c>
      <c r="F725" s="56">
        <v>0.1</v>
      </c>
      <c r="G725" s="56">
        <v>28</v>
      </c>
      <c r="H725" s="55">
        <f>G725*4+F725*9+E725*4</f>
        <v>114.9</v>
      </c>
      <c r="I725" s="261" t="s">
        <v>237</v>
      </c>
      <c r="J725" s="9"/>
      <c r="O725" s="9"/>
    </row>
    <row r="726" spans="1:10" s="9" customFormat="1" ht="30" customHeight="1">
      <c r="A726" s="506" t="s">
        <v>76</v>
      </c>
      <c r="B726" s="506"/>
      <c r="C726" s="506"/>
      <c r="D726" s="506"/>
      <c r="E726" s="506"/>
      <c r="F726" s="506"/>
      <c r="G726" s="506"/>
      <c r="H726" s="506"/>
      <c r="I726" s="506"/>
      <c r="J726" s="126"/>
    </row>
    <row r="727" spans="1:10" s="9" customFormat="1" ht="30" customHeight="1">
      <c r="A727" s="511" t="s">
        <v>305</v>
      </c>
      <c r="B727" s="511"/>
      <c r="C727" s="511"/>
      <c r="D727" s="31">
        <v>200</v>
      </c>
      <c r="E727" s="32">
        <v>0.9</v>
      </c>
      <c r="F727" s="32">
        <v>0</v>
      </c>
      <c r="G727" s="32">
        <v>28.7</v>
      </c>
      <c r="H727" s="55">
        <f>G727*4+F727*9+E727*4</f>
        <v>118.39999999999999</v>
      </c>
      <c r="I727" s="260" t="s">
        <v>528</v>
      </c>
      <c r="J727" s="126"/>
    </row>
    <row r="728" spans="1:10" s="80" customFormat="1" ht="30" customHeight="1">
      <c r="A728" s="67" t="s">
        <v>132</v>
      </c>
      <c r="B728" s="44">
        <v>25</v>
      </c>
      <c r="C728" s="44">
        <v>25</v>
      </c>
      <c r="D728" s="44"/>
      <c r="E728" s="49"/>
      <c r="F728" s="49"/>
      <c r="G728" s="49"/>
      <c r="H728" s="49"/>
      <c r="I728" s="391"/>
      <c r="J728" s="9"/>
    </row>
    <row r="729" spans="1:15" s="9" customFormat="1" ht="30" customHeight="1">
      <c r="A729" s="67" t="s">
        <v>4</v>
      </c>
      <c r="B729" s="44">
        <v>15</v>
      </c>
      <c r="C729" s="44">
        <v>15</v>
      </c>
      <c r="D729" s="44"/>
      <c r="E729" s="49"/>
      <c r="F729" s="49"/>
      <c r="G729" s="49"/>
      <c r="H729" s="49"/>
      <c r="I729" s="391"/>
      <c r="O729" s="80"/>
    </row>
    <row r="730" spans="1:15" s="9" customFormat="1" ht="30" customHeight="1">
      <c r="A730" s="435" t="s">
        <v>20</v>
      </c>
      <c r="B730" s="164">
        <v>60</v>
      </c>
      <c r="C730" s="164">
        <v>60</v>
      </c>
      <c r="D730" s="103">
        <v>60</v>
      </c>
      <c r="E730" s="110">
        <v>2.8</v>
      </c>
      <c r="F730" s="110">
        <v>0.6</v>
      </c>
      <c r="G730" s="110">
        <v>26.2</v>
      </c>
      <c r="H730" s="141">
        <v>122</v>
      </c>
      <c r="I730" s="374"/>
      <c r="O730" s="80"/>
    </row>
    <row r="731" spans="1:15" s="80" customFormat="1" ht="30" customHeight="1">
      <c r="A731" s="503" t="s">
        <v>80</v>
      </c>
      <c r="B731" s="503"/>
      <c r="C731" s="503"/>
      <c r="D731" s="54">
        <v>60</v>
      </c>
      <c r="E731" s="56"/>
      <c r="F731" s="56"/>
      <c r="G731" s="56"/>
      <c r="H731" s="56"/>
      <c r="I731" s="374"/>
      <c r="J731" s="126"/>
      <c r="O731" s="9"/>
    </row>
    <row r="732" spans="1:9" s="9" customFormat="1" ht="30" customHeight="1">
      <c r="A732" s="434" t="s">
        <v>27</v>
      </c>
      <c r="B732" s="111">
        <v>50</v>
      </c>
      <c r="C732" s="111">
        <v>50</v>
      </c>
      <c r="D732" s="54">
        <v>50</v>
      </c>
      <c r="E732" s="56">
        <v>1.8</v>
      </c>
      <c r="F732" s="56">
        <v>0.3</v>
      </c>
      <c r="G732" s="56">
        <v>23.5</v>
      </c>
      <c r="H732" s="55">
        <v>101.30000000000001</v>
      </c>
      <c r="I732" s="374"/>
    </row>
    <row r="733" spans="1:10" s="80" customFormat="1" ht="30" customHeight="1">
      <c r="A733" s="517" t="s">
        <v>24</v>
      </c>
      <c r="B733" s="517"/>
      <c r="C733" s="517"/>
      <c r="D733" s="517"/>
      <c r="E733" s="138">
        <f>+E651+E596</f>
        <v>54.8</v>
      </c>
      <c r="F733" s="138">
        <f>+F651+F596</f>
        <v>57</v>
      </c>
      <c r="G733" s="138">
        <f>+G651+G596</f>
        <v>210.1</v>
      </c>
      <c r="H733" s="138">
        <f>+H651+H596</f>
        <v>1569.7</v>
      </c>
      <c r="I733" s="385"/>
      <c r="J733" s="9"/>
    </row>
    <row r="734" spans="1:15" s="80" customFormat="1" ht="30" customHeight="1">
      <c r="A734" s="510" t="s">
        <v>414</v>
      </c>
      <c r="B734" s="510"/>
      <c r="C734" s="510"/>
      <c r="D734" s="510"/>
      <c r="E734" s="510"/>
      <c r="F734" s="510"/>
      <c r="G734" s="510"/>
      <c r="H734" s="510"/>
      <c r="I734" s="510"/>
      <c r="J734" s="9"/>
      <c r="O734" s="9"/>
    </row>
    <row r="735" spans="1:15" s="82" customFormat="1" ht="30" customHeight="1">
      <c r="A735" s="513" t="s">
        <v>0</v>
      </c>
      <c r="B735" s="512" t="s">
        <v>6</v>
      </c>
      <c r="C735" s="512" t="s">
        <v>7</v>
      </c>
      <c r="D735" s="513" t="s">
        <v>5</v>
      </c>
      <c r="E735" s="513"/>
      <c r="F735" s="513"/>
      <c r="G735" s="513"/>
      <c r="H735" s="513"/>
      <c r="I735" s="513"/>
      <c r="J735" s="9"/>
      <c r="O735" s="9"/>
    </row>
    <row r="736" spans="1:15" s="80" customFormat="1" ht="30" customHeight="1">
      <c r="A736" s="513"/>
      <c r="B736" s="512"/>
      <c r="C736" s="512"/>
      <c r="D736" s="419" t="s">
        <v>8</v>
      </c>
      <c r="E736" s="418" t="s">
        <v>1</v>
      </c>
      <c r="F736" s="418" t="s">
        <v>2</v>
      </c>
      <c r="G736" s="418" t="s">
        <v>9</v>
      </c>
      <c r="H736" s="417" t="s">
        <v>3</v>
      </c>
      <c r="I736" s="420" t="s">
        <v>211</v>
      </c>
      <c r="J736" s="9"/>
      <c r="O736" s="9"/>
    </row>
    <row r="737" spans="1:9" s="9" customFormat="1" ht="30" customHeight="1">
      <c r="A737" s="516" t="s">
        <v>112</v>
      </c>
      <c r="B737" s="516"/>
      <c r="C737" s="516"/>
      <c r="D737" s="140">
        <f>D738+60+D759+D763</f>
        <v>620</v>
      </c>
      <c r="E737" s="122">
        <f>E738+E756+E759+E762+E763</f>
        <v>21.4</v>
      </c>
      <c r="F737" s="122">
        <f>F738+F756+F759+F762+F763</f>
        <v>19.900000000000002</v>
      </c>
      <c r="G737" s="122">
        <f>G738+G756+G759+G762+G763</f>
        <v>87.1</v>
      </c>
      <c r="H737" s="122">
        <f>H738+H756+H759+H762+H763</f>
        <v>615.7</v>
      </c>
      <c r="I737" s="381"/>
    </row>
    <row r="738" spans="1:9" s="9" customFormat="1" ht="30" customHeight="1">
      <c r="A738" s="504" t="s">
        <v>285</v>
      </c>
      <c r="B738" s="504"/>
      <c r="C738" s="504"/>
      <c r="D738" s="24">
        <v>200</v>
      </c>
      <c r="E738" s="56">
        <v>16.8</v>
      </c>
      <c r="F738" s="56">
        <v>18.9</v>
      </c>
      <c r="G738" s="56">
        <v>4.6</v>
      </c>
      <c r="H738" s="55">
        <f>G738*4+F738*9+E738*4</f>
        <v>255.7</v>
      </c>
      <c r="I738" s="374" t="s">
        <v>282</v>
      </c>
    </row>
    <row r="739" spans="1:15" s="9" customFormat="1" ht="30" customHeight="1">
      <c r="A739" s="72" t="s">
        <v>88</v>
      </c>
      <c r="B739" s="45">
        <v>125</v>
      </c>
      <c r="C739" s="45">
        <v>125</v>
      </c>
      <c r="D739" s="44"/>
      <c r="E739" s="128"/>
      <c r="F739" s="128"/>
      <c r="G739" s="128"/>
      <c r="H739" s="168"/>
      <c r="I739" s="373"/>
      <c r="O739" s="80"/>
    </row>
    <row r="740" spans="1:15" s="9" customFormat="1" ht="30" customHeight="1">
      <c r="A740" s="67" t="s">
        <v>56</v>
      </c>
      <c r="B740" s="45">
        <v>47</v>
      </c>
      <c r="C740" s="45">
        <v>47</v>
      </c>
      <c r="D740" s="44"/>
      <c r="E740" s="128"/>
      <c r="F740" s="128"/>
      <c r="G740" s="128"/>
      <c r="H740" s="168"/>
      <c r="I740" s="374"/>
      <c r="O740" s="126"/>
    </row>
    <row r="741" spans="1:17" s="9" customFormat="1" ht="30" customHeight="1">
      <c r="A741" s="73" t="s">
        <v>41</v>
      </c>
      <c r="B741" s="243">
        <f>B740*460/1000</f>
        <v>21.62</v>
      </c>
      <c r="C741" s="243">
        <f>C740*460/1000</f>
        <v>21.62</v>
      </c>
      <c r="D741" s="194"/>
      <c r="E741" s="56"/>
      <c r="F741" s="56"/>
      <c r="G741" s="56"/>
      <c r="H741" s="55"/>
      <c r="I741" s="373"/>
      <c r="O741" s="80"/>
      <c r="P741" s="80"/>
      <c r="Q741" s="80"/>
    </row>
    <row r="742" spans="1:9" s="9" customFormat="1" ht="30" customHeight="1">
      <c r="A742" s="73" t="s">
        <v>42</v>
      </c>
      <c r="B742" s="243">
        <f>B740*120/1000</f>
        <v>5.64</v>
      </c>
      <c r="C742" s="243">
        <f>C740*120/1000</f>
        <v>5.64</v>
      </c>
      <c r="D742" s="194"/>
      <c r="E742" s="56"/>
      <c r="F742" s="56"/>
      <c r="G742" s="56"/>
      <c r="H742" s="55"/>
      <c r="I742" s="373"/>
    </row>
    <row r="743" spans="1:10" s="9" customFormat="1" ht="30" customHeight="1">
      <c r="A743" s="230" t="s">
        <v>156</v>
      </c>
      <c r="B743" s="231">
        <f>B740-B741</f>
        <v>25.38</v>
      </c>
      <c r="C743" s="231">
        <f>C740-C741</f>
        <v>25.38</v>
      </c>
      <c r="D743" s="232"/>
      <c r="E743" s="233"/>
      <c r="F743" s="233"/>
      <c r="G743" s="233"/>
      <c r="H743" s="234"/>
      <c r="I743" s="377"/>
      <c r="J743" s="126"/>
    </row>
    <row r="744" spans="1:9" s="9" customFormat="1" ht="30" customHeight="1">
      <c r="A744" s="230" t="s">
        <v>157</v>
      </c>
      <c r="B744" s="231">
        <f>B740-B742</f>
        <v>41.36</v>
      </c>
      <c r="C744" s="231">
        <f>C740-C742</f>
        <v>41.36</v>
      </c>
      <c r="D744" s="232"/>
      <c r="E744" s="233"/>
      <c r="F744" s="233"/>
      <c r="G744" s="233"/>
      <c r="H744" s="234"/>
      <c r="I744" s="377"/>
    </row>
    <row r="745" spans="1:9" s="9" customFormat="1" ht="30" customHeight="1">
      <c r="A745" s="67" t="s">
        <v>11</v>
      </c>
      <c r="B745" s="44">
        <v>3</v>
      </c>
      <c r="C745" s="44">
        <v>3</v>
      </c>
      <c r="D745" s="44"/>
      <c r="E745" s="128"/>
      <c r="F745" s="128"/>
      <c r="G745" s="128"/>
      <c r="H745" s="168"/>
      <c r="I745" s="374"/>
    </row>
    <row r="746" spans="1:9" s="9" customFormat="1" ht="30" customHeight="1">
      <c r="A746" s="67" t="s">
        <v>122</v>
      </c>
      <c r="B746" s="44"/>
      <c r="C746" s="44">
        <v>165</v>
      </c>
      <c r="D746" s="44"/>
      <c r="E746" s="128"/>
      <c r="F746" s="128"/>
      <c r="G746" s="128"/>
      <c r="H746" s="168"/>
      <c r="I746" s="374"/>
    </row>
    <row r="747" spans="1:17" s="9" customFormat="1" ht="30" customHeight="1">
      <c r="A747" s="67" t="s">
        <v>40</v>
      </c>
      <c r="B747" s="44">
        <v>5</v>
      </c>
      <c r="C747" s="44">
        <v>5</v>
      </c>
      <c r="D747" s="44"/>
      <c r="E747" s="49"/>
      <c r="F747" s="49"/>
      <c r="G747" s="26"/>
      <c r="H747" s="30"/>
      <c r="I747" s="394"/>
      <c r="J747" s="80"/>
      <c r="O747" s="80"/>
      <c r="P747" s="80"/>
      <c r="Q747" s="80"/>
    </row>
    <row r="748" spans="1:17" s="9" customFormat="1" ht="30" customHeight="1">
      <c r="A748" s="166" t="s">
        <v>283</v>
      </c>
      <c r="B748" s="44"/>
      <c r="C748" s="44">
        <v>30</v>
      </c>
      <c r="D748" s="44"/>
      <c r="E748" s="49"/>
      <c r="F748" s="49"/>
      <c r="G748" s="26"/>
      <c r="H748" s="30"/>
      <c r="I748" s="394" t="s">
        <v>284</v>
      </c>
      <c r="J748" s="80"/>
      <c r="O748" s="80"/>
      <c r="P748" s="80"/>
      <c r="Q748" s="80"/>
    </row>
    <row r="749" spans="1:17" s="9" customFormat="1" ht="30" customHeight="1">
      <c r="A749" s="72" t="s">
        <v>123</v>
      </c>
      <c r="B749" s="62">
        <f>C749*1.54</f>
        <v>46.2</v>
      </c>
      <c r="C749" s="208">
        <v>30</v>
      </c>
      <c r="D749" s="208"/>
      <c r="E749" s="101"/>
      <c r="F749" s="101"/>
      <c r="G749" s="101"/>
      <c r="H749" s="62"/>
      <c r="I749" s="384"/>
      <c r="J749" s="80"/>
      <c r="O749" s="80"/>
      <c r="P749" s="80"/>
      <c r="Q749" s="80"/>
    </row>
    <row r="750" spans="1:17" s="9" customFormat="1" ht="30" customHeight="1">
      <c r="A750" s="119" t="s">
        <v>391</v>
      </c>
      <c r="B750" s="45">
        <f>C750*1.05</f>
        <v>31.5</v>
      </c>
      <c r="C750" s="208">
        <v>30</v>
      </c>
      <c r="D750" s="54"/>
      <c r="E750" s="56"/>
      <c r="F750" s="56"/>
      <c r="G750" s="56"/>
      <c r="H750" s="169"/>
      <c r="I750" s="380"/>
      <c r="J750" s="80"/>
      <c r="K750" s="82" t="s">
        <v>50</v>
      </c>
      <c r="L750" s="80"/>
      <c r="O750" s="80"/>
      <c r="P750" s="80"/>
      <c r="Q750" s="80"/>
    </row>
    <row r="751" spans="1:17" s="9" customFormat="1" ht="30" customHeight="1">
      <c r="A751" s="209" t="s">
        <v>124</v>
      </c>
      <c r="B751" s="62">
        <f>C751*1.67</f>
        <v>50.099999999999994</v>
      </c>
      <c r="C751" s="208">
        <v>30</v>
      </c>
      <c r="D751" s="208"/>
      <c r="E751" s="101"/>
      <c r="F751" s="101"/>
      <c r="G751" s="101"/>
      <c r="H751" s="62"/>
      <c r="I751" s="384"/>
      <c r="K751" s="347" t="s">
        <v>176</v>
      </c>
      <c r="L751" s="9">
        <f>D821+B762</f>
        <v>80</v>
      </c>
      <c r="O751" s="80"/>
      <c r="P751" s="80"/>
      <c r="Q751" s="80"/>
    </row>
    <row r="752" spans="1:17" s="9" customFormat="1" ht="30" customHeight="1">
      <c r="A752" s="506" t="s">
        <v>76</v>
      </c>
      <c r="B752" s="506"/>
      <c r="C752" s="506"/>
      <c r="D752" s="506"/>
      <c r="E752" s="506"/>
      <c r="F752" s="506"/>
      <c r="G752" s="506"/>
      <c r="H752" s="506"/>
      <c r="I752" s="506"/>
      <c r="K752" s="347" t="s">
        <v>136</v>
      </c>
      <c r="L752" s="9">
        <f>D819+C757</f>
        <v>90</v>
      </c>
      <c r="O752" s="80"/>
      <c r="P752" s="80"/>
      <c r="Q752" s="80"/>
    </row>
    <row r="753" spans="1:12" s="9" customFormat="1" ht="30" customHeight="1">
      <c r="A753" s="504" t="s">
        <v>396</v>
      </c>
      <c r="B753" s="504"/>
      <c r="C753" s="180">
        <v>30</v>
      </c>
      <c r="D753" s="267"/>
      <c r="E753" s="56"/>
      <c r="F753" s="56"/>
      <c r="G753" s="56"/>
      <c r="H753" s="55"/>
      <c r="I753" s="374" t="s">
        <v>397</v>
      </c>
      <c r="K753" s="105" t="s">
        <v>162</v>
      </c>
      <c r="L753" s="18">
        <f>C799</f>
        <v>2</v>
      </c>
    </row>
    <row r="754" spans="1:17" s="80" customFormat="1" ht="30" customHeight="1">
      <c r="A754" s="119" t="s">
        <v>374</v>
      </c>
      <c r="B754" s="128">
        <f>C754*1.05</f>
        <v>36.75</v>
      </c>
      <c r="C754" s="111">
        <v>35</v>
      </c>
      <c r="D754" s="211"/>
      <c r="E754" s="214"/>
      <c r="F754" s="214"/>
      <c r="G754" s="214"/>
      <c r="H754" s="214"/>
      <c r="I754" s="399"/>
      <c r="J754" s="9"/>
      <c r="K754" s="347" t="s">
        <v>72</v>
      </c>
      <c r="L754" s="18">
        <f>C813</f>
        <v>65</v>
      </c>
      <c r="O754" s="9"/>
      <c r="P754" s="9"/>
      <c r="Q754" s="9"/>
    </row>
    <row r="755" spans="1:12" s="9" customFormat="1" ht="30" customHeight="1">
      <c r="A755" s="119" t="s">
        <v>398</v>
      </c>
      <c r="B755" s="128">
        <f>C755*1.05</f>
        <v>36.75</v>
      </c>
      <c r="C755" s="111">
        <v>35</v>
      </c>
      <c r="D755" s="211"/>
      <c r="E755" s="214"/>
      <c r="F755" s="214"/>
      <c r="G755" s="214"/>
      <c r="H755" s="214"/>
      <c r="I755" s="399"/>
      <c r="K755" s="347" t="s">
        <v>177</v>
      </c>
      <c r="L755" s="18"/>
    </row>
    <row r="756" spans="1:12" s="9" customFormat="1" ht="30" customHeight="1">
      <c r="A756" s="206" t="s">
        <v>337</v>
      </c>
      <c r="B756" s="44"/>
      <c r="C756" s="22"/>
      <c r="D756" s="54" t="s">
        <v>125</v>
      </c>
      <c r="E756" s="56">
        <v>2.9</v>
      </c>
      <c r="F756" s="56">
        <v>0.6</v>
      </c>
      <c r="G756" s="56">
        <v>41.5</v>
      </c>
      <c r="H756" s="55">
        <f>G756*4+F756*9+E756*4</f>
        <v>183</v>
      </c>
      <c r="I756" s="311" t="s">
        <v>338</v>
      </c>
      <c r="K756" s="105" t="s">
        <v>28</v>
      </c>
      <c r="L756" s="18">
        <f>C777</f>
        <v>100</v>
      </c>
    </row>
    <row r="757" spans="1:17" s="80" customFormat="1" ht="30" customHeight="1">
      <c r="A757" s="67" t="s">
        <v>340</v>
      </c>
      <c r="B757" s="44">
        <v>30</v>
      </c>
      <c r="C757" s="44">
        <v>30</v>
      </c>
      <c r="D757" s="111"/>
      <c r="E757" s="56"/>
      <c r="F757" s="56"/>
      <c r="G757" s="56"/>
      <c r="H757" s="56"/>
      <c r="I757" s="311"/>
      <c r="J757" s="9"/>
      <c r="K757" s="347" t="s">
        <v>353</v>
      </c>
      <c r="L757" s="18">
        <f>++C783+C792+C749+C781+C789+C766+C769+C775+C797+C798+C800+C801</f>
        <v>217.1</v>
      </c>
      <c r="M757" s="9"/>
      <c r="N757" s="9"/>
      <c r="O757" s="9"/>
      <c r="P757" s="9"/>
      <c r="Q757" s="9"/>
    </row>
    <row r="758" spans="1:13" s="80" customFormat="1" ht="30" customHeight="1">
      <c r="A758" s="119" t="s">
        <v>339</v>
      </c>
      <c r="B758" s="111">
        <v>30.4</v>
      </c>
      <c r="C758" s="111">
        <v>30</v>
      </c>
      <c r="D758" s="111"/>
      <c r="E758" s="56"/>
      <c r="F758" s="56"/>
      <c r="G758" s="56"/>
      <c r="H758" s="55"/>
      <c r="I758" s="311"/>
      <c r="J758" s="9"/>
      <c r="K758" s="105" t="s">
        <v>29</v>
      </c>
      <c r="L758" s="9">
        <f>D763+C817</f>
        <v>185</v>
      </c>
      <c r="M758" s="9"/>
    </row>
    <row r="759" spans="1:17" s="80" customFormat="1" ht="30" customHeight="1">
      <c r="A759" s="503" t="s">
        <v>243</v>
      </c>
      <c r="B759" s="503"/>
      <c r="C759" s="503"/>
      <c r="D759" s="55">
        <v>200</v>
      </c>
      <c r="E759" s="56">
        <v>0.2</v>
      </c>
      <c r="F759" s="56">
        <v>0</v>
      </c>
      <c r="G759" s="56">
        <v>11.9</v>
      </c>
      <c r="H759" s="55">
        <v>53</v>
      </c>
      <c r="I759" s="374" t="s">
        <v>242</v>
      </c>
      <c r="J759" s="9"/>
      <c r="K759" s="105" t="s">
        <v>178</v>
      </c>
      <c r="L759" s="9"/>
      <c r="M759" s="9"/>
      <c r="N759" s="9"/>
      <c r="O759" s="9"/>
      <c r="P759" s="9"/>
      <c r="Q759" s="9"/>
    </row>
    <row r="760" spans="1:17" s="80" customFormat="1" ht="30" customHeight="1">
      <c r="A760" s="67" t="s">
        <v>26</v>
      </c>
      <c r="B760" s="44">
        <v>2</v>
      </c>
      <c r="C760" s="44">
        <v>2</v>
      </c>
      <c r="D760" s="330"/>
      <c r="E760" s="203"/>
      <c r="F760" s="203"/>
      <c r="G760" s="203"/>
      <c r="H760" s="204"/>
      <c r="I760" s="374"/>
      <c r="J760" s="9"/>
      <c r="K760" s="347" t="s">
        <v>354</v>
      </c>
      <c r="L760" s="18">
        <f>C818+B761</f>
        <v>27</v>
      </c>
      <c r="M760" s="9"/>
      <c r="N760" s="9"/>
      <c r="O760" s="9"/>
      <c r="P760" s="9"/>
      <c r="Q760" s="9"/>
    </row>
    <row r="761" spans="1:13" s="80" customFormat="1" ht="30" customHeight="1">
      <c r="A761" s="67" t="s">
        <v>4</v>
      </c>
      <c r="B761" s="35">
        <v>12</v>
      </c>
      <c r="C761" s="35">
        <v>12</v>
      </c>
      <c r="D761" s="36"/>
      <c r="E761" s="203"/>
      <c r="F761" s="203"/>
      <c r="G761" s="203"/>
      <c r="H761" s="204"/>
      <c r="I761" s="373"/>
      <c r="J761" s="9"/>
      <c r="K761" s="347" t="s">
        <v>395</v>
      </c>
      <c r="L761" s="9"/>
      <c r="M761" s="9"/>
    </row>
    <row r="762" spans="1:17" s="80" customFormat="1" ht="30" customHeight="1">
      <c r="A762" s="434" t="s">
        <v>27</v>
      </c>
      <c r="B762" s="111">
        <v>30</v>
      </c>
      <c r="C762" s="111">
        <v>30</v>
      </c>
      <c r="D762" s="54">
        <v>30</v>
      </c>
      <c r="E762" s="56">
        <v>1.1</v>
      </c>
      <c r="F762" s="56">
        <v>0.3</v>
      </c>
      <c r="G762" s="56">
        <v>14.1</v>
      </c>
      <c r="H762" s="55">
        <v>61.5</v>
      </c>
      <c r="I762" s="374"/>
      <c r="J762" s="9"/>
      <c r="K762" s="105" t="s">
        <v>31</v>
      </c>
      <c r="L762" s="126">
        <f>C758</f>
        <v>30</v>
      </c>
      <c r="M762" s="9"/>
      <c r="N762" s="9"/>
      <c r="O762" s="9"/>
      <c r="P762" s="9"/>
      <c r="Q762" s="9"/>
    </row>
    <row r="763" spans="1:12" s="9" customFormat="1" ht="30" customHeight="1">
      <c r="A763" s="502" t="s">
        <v>97</v>
      </c>
      <c r="B763" s="502"/>
      <c r="C763" s="502"/>
      <c r="D763" s="31">
        <v>160</v>
      </c>
      <c r="E763" s="32">
        <v>0.4</v>
      </c>
      <c r="F763" s="32">
        <v>0.1</v>
      </c>
      <c r="G763" s="32">
        <v>15</v>
      </c>
      <c r="H763" s="30">
        <f>E763*4+F763*9+G763*4</f>
        <v>62.5</v>
      </c>
      <c r="I763" s="260" t="s">
        <v>231</v>
      </c>
      <c r="K763" s="105" t="s">
        <v>77</v>
      </c>
      <c r="L763" s="129"/>
    </row>
    <row r="764" spans="1:11" s="9" customFormat="1" ht="30" customHeight="1">
      <c r="A764" s="516" t="s">
        <v>63</v>
      </c>
      <c r="B764" s="516"/>
      <c r="C764" s="516"/>
      <c r="D764" s="167">
        <f>D765+300+D816+D812+D793</f>
        <v>880</v>
      </c>
      <c r="E764" s="53">
        <f>E765+E776++E816+E819+E821+E812+E793</f>
        <v>30.240000000000002</v>
      </c>
      <c r="F764" s="53">
        <f>F765+F776++F816+F819+F821+F812+F793</f>
        <v>25.520000000000003</v>
      </c>
      <c r="G764" s="53">
        <f>G765+G776++G816+G819+G821+G812+G793</f>
        <v>137.12</v>
      </c>
      <c r="H764" s="53">
        <f>H765+H776++H816+H819+H821+H812+H793</f>
        <v>897.12</v>
      </c>
      <c r="I764" s="379"/>
      <c r="K764" s="347" t="s">
        <v>39</v>
      </c>
    </row>
    <row r="765" spans="1:11" s="9" customFormat="1" ht="30" customHeight="1">
      <c r="A765" s="503" t="s">
        <v>411</v>
      </c>
      <c r="B765" s="503"/>
      <c r="C765" s="503"/>
      <c r="D765" s="54">
        <v>100</v>
      </c>
      <c r="E765" s="56">
        <v>1.3</v>
      </c>
      <c r="F765" s="56">
        <v>4.2</v>
      </c>
      <c r="G765" s="56">
        <v>3.9</v>
      </c>
      <c r="H765" s="55">
        <f>G765*4+F765*9+E765*4</f>
        <v>58.60000000000001</v>
      </c>
      <c r="I765" s="380" t="s">
        <v>412</v>
      </c>
      <c r="K765" s="105" t="s">
        <v>179</v>
      </c>
    </row>
    <row r="766" spans="1:12" s="9" customFormat="1" ht="30" customHeight="1">
      <c r="A766" s="64" t="s">
        <v>61</v>
      </c>
      <c r="B766" s="45">
        <f>C766*1.25</f>
        <v>122.5</v>
      </c>
      <c r="C766" s="44">
        <v>98</v>
      </c>
      <c r="D766" s="54"/>
      <c r="E766" s="56"/>
      <c r="F766" s="56"/>
      <c r="G766" s="56"/>
      <c r="H766" s="55"/>
      <c r="I766" s="196"/>
      <c r="K766" s="105" t="s">
        <v>32</v>
      </c>
      <c r="L766" s="9">
        <f>B760</f>
        <v>2</v>
      </c>
    </row>
    <row r="767" spans="1:17" s="9" customFormat="1" ht="30" customHeight="1">
      <c r="A767" s="265" t="s">
        <v>413</v>
      </c>
      <c r="B767" s="45"/>
      <c r="C767" s="44">
        <v>62</v>
      </c>
      <c r="D767" s="44"/>
      <c r="E767" s="49"/>
      <c r="F767" s="49"/>
      <c r="G767" s="49"/>
      <c r="H767" s="45"/>
      <c r="I767" s="260"/>
      <c r="K767" s="105" t="s">
        <v>180</v>
      </c>
      <c r="L767" s="18"/>
      <c r="N767" s="80"/>
      <c r="O767" s="80"/>
      <c r="P767" s="80"/>
      <c r="Q767" s="80"/>
    </row>
    <row r="768" spans="1:17" s="80" customFormat="1" ht="30" customHeight="1">
      <c r="A768" s="565" t="s">
        <v>527</v>
      </c>
      <c r="B768" s="565"/>
      <c r="C768" s="565"/>
      <c r="D768" s="5"/>
      <c r="E768" s="44"/>
      <c r="F768" s="44"/>
      <c r="G768" s="44"/>
      <c r="H768" s="45"/>
      <c r="I768" s="262"/>
      <c r="J768" s="9"/>
      <c r="K768" s="347" t="s">
        <v>182</v>
      </c>
      <c r="L768" s="18">
        <f>C794</f>
        <v>69</v>
      </c>
      <c r="M768" s="9"/>
      <c r="N768" s="9"/>
      <c r="O768" s="9"/>
      <c r="P768" s="9"/>
      <c r="Q768" s="9"/>
    </row>
    <row r="769" spans="1:13" s="80" customFormat="1" ht="30" customHeight="1">
      <c r="A769" s="119" t="s">
        <v>101</v>
      </c>
      <c r="B769" s="334">
        <f>C769*1.02</f>
        <v>35.7</v>
      </c>
      <c r="C769" s="363">
        <v>35</v>
      </c>
      <c r="D769" s="54"/>
      <c r="E769" s="56"/>
      <c r="F769" s="56"/>
      <c r="G769" s="56"/>
      <c r="H769" s="55"/>
      <c r="I769" s="196"/>
      <c r="J769" s="9"/>
      <c r="K769" s="105" t="s">
        <v>181</v>
      </c>
      <c r="L769" s="9"/>
      <c r="M769" s="9"/>
    </row>
    <row r="770" spans="1:17" s="9" customFormat="1" ht="30" customHeight="1">
      <c r="A770" s="113" t="s">
        <v>120</v>
      </c>
      <c r="B770" s="334">
        <f>C770*1.05</f>
        <v>36.75</v>
      </c>
      <c r="C770" s="363">
        <v>35</v>
      </c>
      <c r="D770" s="54"/>
      <c r="E770" s="56"/>
      <c r="F770" s="56"/>
      <c r="G770" s="56"/>
      <c r="H770" s="55"/>
      <c r="I770" s="197"/>
      <c r="K770" s="347" t="s">
        <v>183</v>
      </c>
      <c r="L770" s="18">
        <f>C787+C786</f>
        <v>98</v>
      </c>
      <c r="N770" s="80"/>
      <c r="O770" s="80"/>
      <c r="P770" s="80"/>
      <c r="Q770" s="80"/>
    </row>
    <row r="771" spans="1:12" s="9" customFormat="1" ht="30" customHeight="1">
      <c r="A771" s="67" t="s">
        <v>364</v>
      </c>
      <c r="B771" s="49">
        <v>0.1</v>
      </c>
      <c r="C771" s="49">
        <v>0.1</v>
      </c>
      <c r="D771" s="54"/>
      <c r="E771" s="56"/>
      <c r="F771" s="56"/>
      <c r="G771" s="56"/>
      <c r="H771" s="55"/>
      <c r="I771" s="415"/>
      <c r="J771" s="80"/>
      <c r="K771" s="352" t="s">
        <v>184</v>
      </c>
      <c r="L771" s="81">
        <f>+C740</f>
        <v>47</v>
      </c>
    </row>
    <row r="772" spans="1:17" s="9" customFormat="1" ht="30" customHeight="1">
      <c r="A772" s="67" t="s">
        <v>263</v>
      </c>
      <c r="B772" s="44">
        <v>5</v>
      </c>
      <c r="C772" s="44">
        <v>5</v>
      </c>
      <c r="D772" s="54"/>
      <c r="E772" s="128"/>
      <c r="F772" s="128"/>
      <c r="G772" s="56"/>
      <c r="H772" s="55"/>
      <c r="I772" s="197"/>
      <c r="K772" s="352" t="s">
        <v>185</v>
      </c>
      <c r="L772" s="81"/>
      <c r="N772" s="80"/>
      <c r="O772" s="80"/>
      <c r="P772" s="80"/>
      <c r="Q772" s="80"/>
    </row>
    <row r="773" spans="1:17" s="9" customFormat="1" ht="30" customHeight="1">
      <c r="A773" s="67" t="s">
        <v>409</v>
      </c>
      <c r="B773" s="45">
        <f>C773*2.38</f>
        <v>11.899999999999999</v>
      </c>
      <c r="C773" s="44">
        <v>5</v>
      </c>
      <c r="D773" s="54"/>
      <c r="E773" s="128"/>
      <c r="F773" s="128"/>
      <c r="G773" s="56"/>
      <c r="H773" s="55"/>
      <c r="I773" s="197"/>
      <c r="J773" s="16"/>
      <c r="K773" s="347" t="s">
        <v>186</v>
      </c>
      <c r="N773" s="80"/>
      <c r="O773" s="80"/>
      <c r="P773" s="80"/>
      <c r="Q773" s="80"/>
    </row>
    <row r="774" spans="1:17" s="80" customFormat="1" ht="30" customHeight="1">
      <c r="A774" s="64" t="s">
        <v>11</v>
      </c>
      <c r="B774" s="5">
        <v>4</v>
      </c>
      <c r="C774" s="5">
        <v>4</v>
      </c>
      <c r="D774" s="24"/>
      <c r="E774" s="128"/>
      <c r="F774" s="128"/>
      <c r="G774" s="128"/>
      <c r="H774" s="168"/>
      <c r="I774" s="373"/>
      <c r="J774" s="212"/>
      <c r="K774" s="347" t="s">
        <v>187</v>
      </c>
      <c r="L774" s="9"/>
      <c r="M774" s="9"/>
      <c r="N774" s="9"/>
      <c r="O774" s="9"/>
      <c r="P774" s="9"/>
      <c r="Q774" s="9"/>
    </row>
    <row r="775" spans="1:13" s="80" customFormat="1" ht="30" customHeight="1">
      <c r="A775" s="64" t="s">
        <v>410</v>
      </c>
      <c r="B775" s="43">
        <f>C775*1.35</f>
        <v>2.7</v>
      </c>
      <c r="C775" s="43">
        <v>2</v>
      </c>
      <c r="D775" s="54"/>
      <c r="E775" s="128"/>
      <c r="F775" s="128"/>
      <c r="G775" s="128"/>
      <c r="H775" s="168"/>
      <c r="I775" s="416"/>
      <c r="J775" s="16"/>
      <c r="K775" s="347" t="s">
        <v>188</v>
      </c>
      <c r="L775" s="126"/>
      <c r="M775" s="9"/>
    </row>
    <row r="776" spans="1:12" s="9" customFormat="1" ht="30" customHeight="1">
      <c r="A776" s="504" t="s">
        <v>294</v>
      </c>
      <c r="B776" s="504"/>
      <c r="C776" s="504"/>
      <c r="D776" s="24" t="s">
        <v>316</v>
      </c>
      <c r="E776" s="56">
        <v>5.9</v>
      </c>
      <c r="F776" s="56">
        <v>4.7</v>
      </c>
      <c r="G776" s="56">
        <v>19.8</v>
      </c>
      <c r="H776" s="55">
        <f>E776*4+F776*9+G776*4</f>
        <v>145.10000000000002</v>
      </c>
      <c r="I776" s="374" t="s">
        <v>531</v>
      </c>
      <c r="J776" s="212"/>
      <c r="K776" s="352" t="s">
        <v>33</v>
      </c>
      <c r="L776" s="81">
        <f>C784+C815+C747</f>
        <v>15</v>
      </c>
    </row>
    <row r="777" spans="1:12" s="9" customFormat="1" ht="30" customHeight="1">
      <c r="A777" s="64" t="s">
        <v>12</v>
      </c>
      <c r="B777" s="43">
        <f>C777*1.33</f>
        <v>133</v>
      </c>
      <c r="C777" s="44">
        <v>100</v>
      </c>
      <c r="D777" s="24"/>
      <c r="E777" s="56"/>
      <c r="F777" s="56"/>
      <c r="G777" s="56"/>
      <c r="H777" s="55"/>
      <c r="I777" s="374"/>
      <c r="J777" s="16"/>
      <c r="K777" s="105" t="s">
        <v>34</v>
      </c>
      <c r="L777" s="81">
        <f>C774+C745+C795</f>
        <v>11</v>
      </c>
    </row>
    <row r="778" spans="1:17" s="80" customFormat="1" ht="30" customHeight="1">
      <c r="A778" s="64" t="s">
        <v>13</v>
      </c>
      <c r="B778" s="43">
        <f>C778*1.43</f>
        <v>143</v>
      </c>
      <c r="C778" s="44">
        <v>100</v>
      </c>
      <c r="D778" s="21"/>
      <c r="E778" s="56"/>
      <c r="F778" s="56"/>
      <c r="G778" s="56"/>
      <c r="H778" s="55"/>
      <c r="I778" s="374"/>
      <c r="J778" s="9"/>
      <c r="K778" s="105" t="s">
        <v>189</v>
      </c>
      <c r="L778" s="81">
        <f>C739+C790</f>
        <v>128</v>
      </c>
      <c r="M778" s="9"/>
      <c r="N778" s="9"/>
      <c r="O778" s="9"/>
      <c r="P778" s="9"/>
      <c r="Q778" s="9"/>
    </row>
    <row r="779" spans="1:17" s="80" customFormat="1" ht="30" customHeight="1">
      <c r="A779" s="67" t="s">
        <v>14</v>
      </c>
      <c r="B779" s="43">
        <f>C779*1.54</f>
        <v>154</v>
      </c>
      <c r="C779" s="44">
        <v>100</v>
      </c>
      <c r="D779" s="21"/>
      <c r="E779" s="56"/>
      <c r="F779" s="56"/>
      <c r="G779" s="56"/>
      <c r="H779" s="55"/>
      <c r="I779" s="374"/>
      <c r="J779" s="9"/>
      <c r="K779" s="105" t="s">
        <v>369</v>
      </c>
      <c r="L779" s="126"/>
      <c r="M779" s="9"/>
      <c r="N779" s="9"/>
      <c r="O779" s="9"/>
      <c r="P779" s="9"/>
      <c r="Q779" s="9"/>
    </row>
    <row r="780" spans="1:12" s="9" customFormat="1" ht="30" customHeight="1">
      <c r="A780" s="67" t="s">
        <v>15</v>
      </c>
      <c r="B780" s="43">
        <f>C780*1.67</f>
        <v>167</v>
      </c>
      <c r="C780" s="44">
        <v>100</v>
      </c>
      <c r="D780" s="21"/>
      <c r="E780" s="56"/>
      <c r="F780" s="56"/>
      <c r="G780" s="56"/>
      <c r="H780" s="55"/>
      <c r="I780" s="374"/>
      <c r="K780" s="105" t="s">
        <v>190</v>
      </c>
      <c r="L780" s="9">
        <v>1.2</v>
      </c>
    </row>
    <row r="781" spans="1:12" s="9" customFormat="1" ht="30" customHeight="1">
      <c r="A781" s="64" t="s">
        <v>67</v>
      </c>
      <c r="B781" s="48">
        <f>C781*1.25</f>
        <v>12.5</v>
      </c>
      <c r="C781" s="43">
        <v>10</v>
      </c>
      <c r="D781" s="167"/>
      <c r="E781" s="127"/>
      <c r="F781" s="127"/>
      <c r="G781" s="127"/>
      <c r="H781" s="127"/>
      <c r="I781" s="400"/>
      <c r="K781" s="347" t="s">
        <v>191</v>
      </c>
      <c r="L781" s="9">
        <v>3</v>
      </c>
    </row>
    <row r="782" spans="1:17" s="80" customFormat="1" ht="30" customHeight="1">
      <c r="A782" s="64" t="s">
        <v>16</v>
      </c>
      <c r="B782" s="48">
        <f>C782*1.33</f>
        <v>13.3</v>
      </c>
      <c r="C782" s="43">
        <v>10</v>
      </c>
      <c r="D782" s="167"/>
      <c r="E782" s="127"/>
      <c r="F782" s="127"/>
      <c r="G782" s="127"/>
      <c r="H782" s="127"/>
      <c r="I782" s="400"/>
      <c r="J782" s="9"/>
      <c r="K782" s="9"/>
      <c r="L782" s="9"/>
      <c r="M782" s="9"/>
      <c r="N782" s="9"/>
      <c r="O782" s="9"/>
      <c r="P782" s="9"/>
      <c r="Q782" s="9"/>
    </row>
    <row r="783" spans="1:17" s="80" customFormat="1" ht="30" customHeight="1">
      <c r="A783" s="67" t="s">
        <v>18</v>
      </c>
      <c r="B783" s="45">
        <f>C783*1.19</f>
        <v>11.899999999999999</v>
      </c>
      <c r="C783" s="44">
        <v>10</v>
      </c>
      <c r="D783" s="21"/>
      <c r="E783" s="56"/>
      <c r="F783" s="56"/>
      <c r="G783" s="56"/>
      <c r="H783" s="55"/>
      <c r="I783" s="374"/>
      <c r="M783" s="9"/>
      <c r="N783" s="9"/>
      <c r="O783" s="9"/>
      <c r="P783" s="9"/>
      <c r="Q783" s="9"/>
    </row>
    <row r="784" spans="1:10" s="9" customFormat="1" ht="30" customHeight="1">
      <c r="A784" s="113" t="s">
        <v>19</v>
      </c>
      <c r="B784" s="168">
        <v>5</v>
      </c>
      <c r="C784" s="168">
        <v>5</v>
      </c>
      <c r="D784" s="54"/>
      <c r="E784" s="56"/>
      <c r="F784" s="56"/>
      <c r="G784" s="56"/>
      <c r="H784" s="55"/>
      <c r="I784" s="374"/>
      <c r="J784" s="80"/>
    </row>
    <row r="785" spans="1:10" s="9" customFormat="1" ht="30" customHeight="1">
      <c r="A785" s="113" t="s">
        <v>149</v>
      </c>
      <c r="B785" s="168"/>
      <c r="C785" s="168">
        <v>50</v>
      </c>
      <c r="D785" s="54"/>
      <c r="E785" s="56"/>
      <c r="F785" s="56"/>
      <c r="G785" s="56"/>
      <c r="H785" s="55"/>
      <c r="I785" s="374"/>
      <c r="J785" s="80"/>
    </row>
    <row r="786" spans="1:9" s="9" customFormat="1" ht="30" customHeight="1">
      <c r="A786" s="70" t="s">
        <v>86</v>
      </c>
      <c r="B786" s="33">
        <f>C786*1.35</f>
        <v>66.15</v>
      </c>
      <c r="C786" s="45">
        <v>49</v>
      </c>
      <c r="D786" s="21"/>
      <c r="E786" s="56"/>
      <c r="F786" s="56"/>
      <c r="G786" s="56"/>
      <c r="H786" s="55"/>
      <c r="I786" s="374"/>
    </row>
    <row r="787" spans="1:9" s="9" customFormat="1" ht="30" customHeight="1">
      <c r="A787" s="70" t="s">
        <v>169</v>
      </c>
      <c r="B787" s="61">
        <f>C787*1.5</f>
        <v>73.5</v>
      </c>
      <c r="C787" s="45">
        <v>49</v>
      </c>
      <c r="D787" s="21"/>
      <c r="E787" s="56"/>
      <c r="F787" s="56"/>
      <c r="G787" s="56"/>
      <c r="H787" s="55"/>
      <c r="I787" s="374"/>
    </row>
    <row r="788" spans="1:10" s="9" customFormat="1" ht="30" customHeight="1">
      <c r="A788" s="148" t="s">
        <v>152</v>
      </c>
      <c r="B788" s="61">
        <f>C788*1.82</f>
        <v>89.18</v>
      </c>
      <c r="C788" s="45">
        <v>49</v>
      </c>
      <c r="D788" s="21"/>
      <c r="E788" s="56"/>
      <c r="F788" s="56"/>
      <c r="G788" s="56"/>
      <c r="H788" s="55"/>
      <c r="I788" s="374"/>
      <c r="J788" s="126"/>
    </row>
    <row r="789" spans="1:9" s="9" customFormat="1" ht="30" customHeight="1">
      <c r="A789" s="67" t="s">
        <v>18</v>
      </c>
      <c r="B789" s="45">
        <f>C789*1.19</f>
        <v>11.899999999999999</v>
      </c>
      <c r="C789" s="44">
        <v>10</v>
      </c>
      <c r="D789" s="21"/>
      <c r="E789" s="56"/>
      <c r="F789" s="56"/>
      <c r="G789" s="56"/>
      <c r="H789" s="55"/>
      <c r="I789" s="374"/>
    </row>
    <row r="790" spans="1:9" s="9" customFormat="1" ht="30" customHeight="1">
      <c r="A790" s="67" t="s">
        <v>88</v>
      </c>
      <c r="B790" s="45">
        <v>3</v>
      </c>
      <c r="C790" s="45">
        <v>3</v>
      </c>
      <c r="D790" s="21"/>
      <c r="E790" s="56"/>
      <c r="F790" s="56"/>
      <c r="G790" s="56"/>
      <c r="H790" s="55"/>
      <c r="I790" s="374"/>
    </row>
    <row r="791" spans="1:9" s="9" customFormat="1" ht="30" customHeight="1">
      <c r="A791" s="67" t="s">
        <v>69</v>
      </c>
      <c r="B791" s="45">
        <v>4</v>
      </c>
      <c r="C791" s="45">
        <v>4</v>
      </c>
      <c r="D791" s="21"/>
      <c r="E791" s="56"/>
      <c r="F791" s="56"/>
      <c r="G791" s="56"/>
      <c r="H791" s="55"/>
      <c r="I791" s="374"/>
    </row>
    <row r="792" spans="1:9" s="9" customFormat="1" ht="30" customHeight="1">
      <c r="A792" s="67" t="s">
        <v>78</v>
      </c>
      <c r="B792" s="48">
        <v>0.2</v>
      </c>
      <c r="C792" s="48">
        <v>0.2</v>
      </c>
      <c r="D792" s="21"/>
      <c r="E792" s="38"/>
      <c r="F792" s="38"/>
      <c r="G792" s="38"/>
      <c r="H792" s="144"/>
      <c r="I792" s="379"/>
    </row>
    <row r="793" spans="1:17" s="80" customFormat="1" ht="30" customHeight="1">
      <c r="A793" s="501" t="s">
        <v>482</v>
      </c>
      <c r="B793" s="501"/>
      <c r="C793" s="501"/>
      <c r="D793" s="54">
        <v>100</v>
      </c>
      <c r="E793" s="56">
        <v>13.9</v>
      </c>
      <c r="F793" s="56">
        <v>11.4</v>
      </c>
      <c r="G793" s="56">
        <v>3.8</v>
      </c>
      <c r="H793" s="479">
        <f>G793*4+F793*9+E793*4</f>
        <v>173.4</v>
      </c>
      <c r="I793" s="432" t="s">
        <v>483</v>
      </c>
      <c r="J793" s="9"/>
      <c r="M793" s="9"/>
      <c r="N793" s="9"/>
      <c r="O793" s="9"/>
      <c r="P793" s="9"/>
      <c r="Q793" s="9"/>
    </row>
    <row r="794" spans="1:17" s="80" customFormat="1" ht="30" customHeight="1">
      <c r="A794" s="480" t="s">
        <v>485</v>
      </c>
      <c r="B794" s="33">
        <f>C794*1.054</f>
        <v>72.726</v>
      </c>
      <c r="C794" s="111">
        <v>69</v>
      </c>
      <c r="D794" s="44"/>
      <c r="E794" s="49"/>
      <c r="F794" s="49"/>
      <c r="G794" s="49"/>
      <c r="H794" s="49"/>
      <c r="I794" s="460"/>
      <c r="J794" s="9"/>
      <c r="M794" s="9"/>
      <c r="N794" s="9"/>
      <c r="O794" s="9"/>
      <c r="P794" s="9"/>
      <c r="Q794" s="9"/>
    </row>
    <row r="795" spans="1:17" s="80" customFormat="1" ht="30" customHeight="1">
      <c r="A795" s="67" t="s">
        <v>11</v>
      </c>
      <c r="B795" s="44">
        <v>4</v>
      </c>
      <c r="C795" s="44">
        <v>4</v>
      </c>
      <c r="D795" s="44"/>
      <c r="E795" s="371"/>
      <c r="F795" s="371"/>
      <c r="G795" s="371"/>
      <c r="H795" s="55"/>
      <c r="I795" s="460"/>
      <c r="J795" s="9"/>
      <c r="M795" s="9"/>
      <c r="N795" s="9"/>
      <c r="O795" s="9"/>
      <c r="P795" s="9"/>
      <c r="Q795" s="9"/>
    </row>
    <row r="796" spans="1:17" s="80" customFormat="1" ht="30" customHeight="1">
      <c r="A796" s="113" t="s">
        <v>486</v>
      </c>
      <c r="B796" s="44"/>
      <c r="C796" s="44">
        <v>50</v>
      </c>
      <c r="D796" s="44"/>
      <c r="E796" s="49"/>
      <c r="F796" s="49"/>
      <c r="G796" s="49"/>
      <c r="H796" s="45"/>
      <c r="I796" s="460"/>
      <c r="J796" s="9"/>
      <c r="M796" s="9"/>
      <c r="N796" s="9"/>
      <c r="O796" s="9"/>
      <c r="P796" s="9"/>
      <c r="Q796" s="9"/>
    </row>
    <row r="797" spans="1:9" s="9" customFormat="1" ht="30" customHeight="1">
      <c r="A797" s="119" t="s">
        <v>18</v>
      </c>
      <c r="B797" s="128">
        <f>C797*1.19</f>
        <v>9.52</v>
      </c>
      <c r="C797" s="111">
        <v>8</v>
      </c>
      <c r="D797" s="54"/>
      <c r="E797" s="56"/>
      <c r="F797" s="128"/>
      <c r="G797" s="128"/>
      <c r="H797" s="128"/>
      <c r="I797" s="481"/>
    </row>
    <row r="798" spans="1:9" s="9" customFormat="1" ht="30" customHeight="1">
      <c r="A798" s="119" t="s">
        <v>484</v>
      </c>
      <c r="B798" s="45">
        <v>5</v>
      </c>
      <c r="C798" s="45">
        <v>5</v>
      </c>
      <c r="D798" s="24"/>
      <c r="E798" s="128"/>
      <c r="F798" s="128"/>
      <c r="G798" s="128"/>
      <c r="H798" s="111"/>
      <c r="I798" s="482"/>
    </row>
    <row r="799" spans="1:9" s="9" customFormat="1" ht="30" customHeight="1">
      <c r="A799" s="64" t="s">
        <v>21</v>
      </c>
      <c r="B799" s="43">
        <v>2</v>
      </c>
      <c r="C799" s="43">
        <v>2</v>
      </c>
      <c r="D799" s="221"/>
      <c r="E799" s="131"/>
      <c r="F799" s="118"/>
      <c r="G799" s="118"/>
      <c r="H799" s="229"/>
      <c r="I799" s="248"/>
    </row>
    <row r="800" spans="1:9" s="9" customFormat="1" ht="30" customHeight="1">
      <c r="A800" s="113" t="s">
        <v>279</v>
      </c>
      <c r="B800" s="128">
        <f>C800*1.28</f>
        <v>1.1520000000000001</v>
      </c>
      <c r="C800" s="111">
        <v>0.9</v>
      </c>
      <c r="D800" s="221"/>
      <c r="E800" s="128"/>
      <c r="F800" s="56"/>
      <c r="G800" s="56"/>
      <c r="H800" s="54"/>
      <c r="I800" s="248"/>
    </row>
    <row r="801" spans="1:17" s="155" customFormat="1" ht="30" customHeight="1">
      <c r="A801" s="113" t="s">
        <v>67</v>
      </c>
      <c r="B801" s="168">
        <f>C801*1.25</f>
        <v>10</v>
      </c>
      <c r="C801" s="168">
        <v>8</v>
      </c>
      <c r="D801" s="111"/>
      <c r="E801" s="111"/>
      <c r="F801" s="113"/>
      <c r="G801" s="111"/>
      <c r="H801" s="128"/>
      <c r="I801" s="483"/>
      <c r="J801" s="9"/>
      <c r="M801" s="9"/>
      <c r="N801" s="9"/>
      <c r="O801" s="9"/>
      <c r="P801" s="9"/>
      <c r="Q801" s="9"/>
    </row>
    <row r="802" spans="1:17" s="80" customFormat="1" ht="30" customHeight="1">
      <c r="A802" s="71" t="s">
        <v>16</v>
      </c>
      <c r="B802" s="45">
        <f>C802*1.33</f>
        <v>10.64</v>
      </c>
      <c r="C802" s="45">
        <v>8</v>
      </c>
      <c r="D802" s="111"/>
      <c r="E802" s="44"/>
      <c r="F802" s="113"/>
      <c r="G802" s="111"/>
      <c r="H802" s="128"/>
      <c r="I802" s="483"/>
      <c r="J802" s="126"/>
      <c r="M802" s="9"/>
      <c r="N802" s="9"/>
      <c r="O802" s="9"/>
      <c r="P802" s="9"/>
      <c r="Q802" s="9"/>
    </row>
    <row r="803" spans="1:10" s="9" customFormat="1" ht="30" customHeight="1">
      <c r="A803" s="66" t="s">
        <v>69</v>
      </c>
      <c r="B803" s="43">
        <v>50</v>
      </c>
      <c r="C803" s="43">
        <v>50</v>
      </c>
      <c r="D803" s="221"/>
      <c r="E803" s="131"/>
      <c r="F803" s="118"/>
      <c r="G803" s="118"/>
      <c r="H803" s="229"/>
      <c r="I803" s="248"/>
      <c r="J803" s="80"/>
    </row>
    <row r="804" spans="1:10" s="9" customFormat="1" ht="30" customHeight="1">
      <c r="A804" s="567" t="s">
        <v>76</v>
      </c>
      <c r="B804" s="567"/>
      <c r="C804" s="567"/>
      <c r="D804" s="567"/>
      <c r="E804" s="567"/>
      <c r="F804" s="567"/>
      <c r="G804" s="567"/>
      <c r="H804" s="567"/>
      <c r="I804" s="567"/>
      <c r="J804" s="80"/>
    </row>
    <row r="805" spans="1:10" s="9" customFormat="1" ht="30" customHeight="1">
      <c r="A805" s="503" t="s">
        <v>349</v>
      </c>
      <c r="B805" s="503"/>
      <c r="C805" s="503"/>
      <c r="D805" s="24">
        <v>100</v>
      </c>
      <c r="E805" s="56">
        <v>10.4</v>
      </c>
      <c r="F805" s="56">
        <v>9.2</v>
      </c>
      <c r="G805" s="56">
        <v>4</v>
      </c>
      <c r="H805" s="55">
        <f>E805*4+F805*9+G805*4</f>
        <v>140.4</v>
      </c>
      <c r="I805" s="261" t="s">
        <v>236</v>
      </c>
      <c r="J805" s="80"/>
    </row>
    <row r="806" spans="1:10" s="9" customFormat="1" ht="30" customHeight="1">
      <c r="A806" s="65" t="s">
        <v>90</v>
      </c>
      <c r="B806" s="33">
        <f>C806*1.36</f>
        <v>107.44000000000001</v>
      </c>
      <c r="C806" s="45">
        <v>79</v>
      </c>
      <c r="D806" s="44"/>
      <c r="E806" s="128"/>
      <c r="F806" s="128"/>
      <c r="G806" s="128"/>
      <c r="H806" s="168"/>
      <c r="I806" s="374"/>
      <c r="J806" s="126"/>
    </row>
    <row r="807" spans="1:17" s="9" customFormat="1" ht="30" customHeight="1">
      <c r="A807" s="65" t="s">
        <v>91</v>
      </c>
      <c r="B807" s="33">
        <f>C807*1.18</f>
        <v>93.22</v>
      </c>
      <c r="C807" s="5">
        <f>C806</f>
        <v>79</v>
      </c>
      <c r="D807" s="213"/>
      <c r="E807" s="38"/>
      <c r="F807" s="38"/>
      <c r="G807" s="38"/>
      <c r="H807" s="144"/>
      <c r="I807" s="379"/>
      <c r="J807" s="80"/>
      <c r="M807" s="80"/>
      <c r="N807" s="80"/>
      <c r="O807" s="80"/>
      <c r="P807" s="80"/>
      <c r="Q807" s="80"/>
    </row>
    <row r="808" spans="1:17" s="9" customFormat="1" ht="30" customHeight="1">
      <c r="A808" s="67" t="s">
        <v>11</v>
      </c>
      <c r="B808" s="45">
        <v>4.5</v>
      </c>
      <c r="C808" s="45">
        <v>4.5</v>
      </c>
      <c r="D808" s="213"/>
      <c r="E808" s="38"/>
      <c r="F808" s="38"/>
      <c r="G808" s="38"/>
      <c r="H808" s="144"/>
      <c r="I808" s="379"/>
      <c r="M808" s="80"/>
      <c r="N808" s="80"/>
      <c r="O808" s="80"/>
      <c r="P808" s="80"/>
      <c r="Q808" s="80"/>
    </row>
    <row r="809" spans="1:9" s="9" customFormat="1" ht="30" customHeight="1">
      <c r="A809" s="67" t="s">
        <v>18</v>
      </c>
      <c r="B809" s="45">
        <f>C809*1.19</f>
        <v>11.899999999999999</v>
      </c>
      <c r="C809" s="44">
        <v>10</v>
      </c>
      <c r="D809" s="213"/>
      <c r="E809" s="38"/>
      <c r="F809" s="38"/>
      <c r="G809" s="38"/>
      <c r="H809" s="144"/>
      <c r="I809" s="379"/>
    </row>
    <row r="810" spans="1:17" s="9" customFormat="1" ht="30" customHeight="1">
      <c r="A810" s="72" t="s">
        <v>58</v>
      </c>
      <c r="B810" s="44">
        <v>4</v>
      </c>
      <c r="C810" s="44">
        <v>4</v>
      </c>
      <c r="D810" s="44"/>
      <c r="E810" s="128"/>
      <c r="F810" s="128"/>
      <c r="G810" s="128"/>
      <c r="H810" s="168"/>
      <c r="I810" s="374"/>
      <c r="M810" s="80"/>
      <c r="N810" s="80"/>
      <c r="O810" s="80"/>
      <c r="P810" s="80"/>
      <c r="Q810" s="80"/>
    </row>
    <row r="811" spans="1:17" s="80" customFormat="1" ht="30" customHeight="1">
      <c r="A811" s="67" t="s">
        <v>21</v>
      </c>
      <c r="B811" s="44">
        <v>2.5</v>
      </c>
      <c r="C811" s="44">
        <v>2.5</v>
      </c>
      <c r="D811" s="44"/>
      <c r="E811" s="128"/>
      <c r="F811" s="56"/>
      <c r="G811" s="56"/>
      <c r="H811" s="55"/>
      <c r="I811" s="374"/>
      <c r="J811" s="9"/>
      <c r="M811" s="9"/>
      <c r="N811" s="156"/>
      <c r="O811" s="156"/>
      <c r="P811" s="156"/>
      <c r="Q811" s="156"/>
    </row>
    <row r="812" spans="1:10" s="80" customFormat="1" ht="30" customHeight="1">
      <c r="A812" s="503" t="s">
        <v>312</v>
      </c>
      <c r="B812" s="503"/>
      <c r="C812" s="503"/>
      <c r="D812" s="22">
        <v>180</v>
      </c>
      <c r="E812" s="56">
        <v>4.44</v>
      </c>
      <c r="F812" s="56">
        <v>4.32</v>
      </c>
      <c r="G812" s="56">
        <v>40.919999999999995</v>
      </c>
      <c r="H812" s="55">
        <v>220.32000000000002</v>
      </c>
      <c r="I812" s="374" t="s">
        <v>313</v>
      </c>
      <c r="J812" s="9"/>
    </row>
    <row r="813" spans="1:17" s="9" customFormat="1" ht="30" customHeight="1">
      <c r="A813" s="67" t="s">
        <v>23</v>
      </c>
      <c r="B813" s="5">
        <v>65</v>
      </c>
      <c r="C813" s="5">
        <v>65</v>
      </c>
      <c r="D813" s="44"/>
      <c r="E813" s="128"/>
      <c r="F813" s="128"/>
      <c r="G813" s="128"/>
      <c r="H813" s="168"/>
      <c r="I813" s="373"/>
      <c r="M813" s="80"/>
      <c r="N813" s="80"/>
      <c r="O813" s="80"/>
      <c r="P813" s="80"/>
      <c r="Q813" s="80"/>
    </row>
    <row r="814" spans="1:17" s="9" customFormat="1" ht="30" customHeight="1">
      <c r="A814" s="67" t="s">
        <v>69</v>
      </c>
      <c r="B814" s="5">
        <f>B813*6</f>
        <v>390</v>
      </c>
      <c r="C814" s="5">
        <f>C813*6</f>
        <v>390</v>
      </c>
      <c r="D814" s="44"/>
      <c r="E814" s="128"/>
      <c r="F814" s="128"/>
      <c r="G814" s="128"/>
      <c r="H814" s="168"/>
      <c r="I814" s="373"/>
      <c r="M814" s="80"/>
      <c r="N814" s="80"/>
      <c r="O814" s="80"/>
      <c r="P814" s="80"/>
      <c r="Q814" s="80"/>
    </row>
    <row r="815" spans="1:10" s="80" customFormat="1" ht="30" customHeight="1">
      <c r="A815" s="113" t="s">
        <v>19</v>
      </c>
      <c r="B815" s="111">
        <v>5</v>
      </c>
      <c r="C815" s="111">
        <v>5</v>
      </c>
      <c r="D815" s="111"/>
      <c r="E815" s="128"/>
      <c r="F815" s="128"/>
      <c r="G815" s="128"/>
      <c r="H815" s="168"/>
      <c r="I815" s="374"/>
      <c r="J815" s="9"/>
    </row>
    <row r="816" spans="1:13" s="80" customFormat="1" ht="30" customHeight="1">
      <c r="A816" s="519" t="s">
        <v>292</v>
      </c>
      <c r="B816" s="519"/>
      <c r="C816" s="519"/>
      <c r="D816" s="98">
        <v>200</v>
      </c>
      <c r="E816" s="97">
        <v>0.1</v>
      </c>
      <c r="F816" s="97">
        <v>0</v>
      </c>
      <c r="G816" s="97">
        <v>19</v>
      </c>
      <c r="H816" s="55">
        <f>G816*4+F816*9+E816*4</f>
        <v>76.4</v>
      </c>
      <c r="I816" s="401" t="s">
        <v>293</v>
      </c>
      <c r="J816" s="9"/>
      <c r="M816" s="9"/>
    </row>
    <row r="817" spans="1:17" s="9" customFormat="1" ht="30" customHeight="1">
      <c r="A817" s="100" t="s">
        <v>121</v>
      </c>
      <c r="B817" s="63">
        <v>26.4</v>
      </c>
      <c r="C817" s="63">
        <v>25</v>
      </c>
      <c r="D817" s="102"/>
      <c r="E817" s="136"/>
      <c r="F817" s="136"/>
      <c r="G817" s="136"/>
      <c r="H817" s="147"/>
      <c r="I817" s="384"/>
      <c r="N817" s="80"/>
      <c r="O817" s="80"/>
      <c r="P817" s="80"/>
      <c r="Q817" s="80"/>
    </row>
    <row r="818" spans="1:17" s="9" customFormat="1" ht="30" customHeight="1">
      <c r="A818" s="67" t="s">
        <v>4</v>
      </c>
      <c r="B818" s="63">
        <v>15</v>
      </c>
      <c r="C818" s="63">
        <v>15</v>
      </c>
      <c r="D818" s="102"/>
      <c r="E818" s="136"/>
      <c r="F818" s="136"/>
      <c r="G818" s="136"/>
      <c r="H818" s="147"/>
      <c r="I818" s="384"/>
      <c r="J818" s="80"/>
      <c r="N818" s="80"/>
      <c r="O818" s="80"/>
      <c r="P818" s="80"/>
      <c r="Q818" s="80"/>
    </row>
    <row r="819" spans="1:17" s="9" customFormat="1" ht="30" customHeight="1">
      <c r="A819" s="435" t="s">
        <v>20</v>
      </c>
      <c r="B819" s="164">
        <v>60</v>
      </c>
      <c r="C819" s="164">
        <v>60</v>
      </c>
      <c r="D819" s="103">
        <v>60</v>
      </c>
      <c r="E819" s="110">
        <v>2.8</v>
      </c>
      <c r="F819" s="110">
        <v>0.6</v>
      </c>
      <c r="G819" s="110">
        <v>26.2</v>
      </c>
      <c r="H819" s="141">
        <v>122</v>
      </c>
      <c r="I819" s="374"/>
      <c r="N819" s="80"/>
      <c r="O819" s="80"/>
      <c r="P819" s="80"/>
      <c r="Q819" s="80"/>
    </row>
    <row r="820" spans="1:9" s="9" customFormat="1" ht="30" customHeight="1">
      <c r="A820" s="503" t="s">
        <v>80</v>
      </c>
      <c r="B820" s="503"/>
      <c r="C820" s="503"/>
      <c r="D820" s="103">
        <v>60</v>
      </c>
      <c r="E820" s="128"/>
      <c r="F820" s="128"/>
      <c r="G820" s="128"/>
      <c r="H820" s="128"/>
      <c r="I820" s="373"/>
    </row>
    <row r="821" spans="1:17" s="9" customFormat="1" ht="30" customHeight="1">
      <c r="A821" s="434" t="s">
        <v>27</v>
      </c>
      <c r="B821" s="111">
        <v>50</v>
      </c>
      <c r="C821" s="111">
        <v>50</v>
      </c>
      <c r="D821" s="54">
        <v>50</v>
      </c>
      <c r="E821" s="56">
        <v>1.8</v>
      </c>
      <c r="F821" s="56">
        <v>0.3</v>
      </c>
      <c r="G821" s="56">
        <v>23.5</v>
      </c>
      <c r="H821" s="55">
        <v>101.30000000000001</v>
      </c>
      <c r="I821" s="374"/>
      <c r="J821" s="16"/>
      <c r="N821" s="80"/>
      <c r="O821" s="80"/>
      <c r="P821" s="80"/>
      <c r="Q821" s="80"/>
    </row>
    <row r="822" spans="1:10" s="9" customFormat="1" ht="30" customHeight="1">
      <c r="A822" s="544" t="s">
        <v>24</v>
      </c>
      <c r="B822" s="544"/>
      <c r="C822" s="544"/>
      <c r="D822" s="544"/>
      <c r="E822" s="137">
        <f>E764+E737</f>
        <v>51.64</v>
      </c>
      <c r="F822" s="137">
        <f>F764+F737</f>
        <v>45.42</v>
      </c>
      <c r="G822" s="137">
        <f>G764+G737</f>
        <v>224.22</v>
      </c>
      <c r="H822" s="137">
        <f>H764+H737</f>
        <v>1512.8200000000002</v>
      </c>
      <c r="I822" s="393"/>
      <c r="J822" s="16"/>
    </row>
    <row r="823" spans="1:10" s="9" customFormat="1" ht="30" customHeight="1">
      <c r="A823" s="510" t="s">
        <v>415</v>
      </c>
      <c r="B823" s="510"/>
      <c r="C823" s="510"/>
      <c r="D823" s="510"/>
      <c r="E823" s="510"/>
      <c r="F823" s="510"/>
      <c r="G823" s="510"/>
      <c r="H823" s="510"/>
      <c r="I823" s="510"/>
      <c r="J823" s="189"/>
    </row>
    <row r="824" spans="1:17" s="9" customFormat="1" ht="30" customHeight="1">
      <c r="A824" s="513" t="s">
        <v>0</v>
      </c>
      <c r="B824" s="512" t="s">
        <v>6</v>
      </c>
      <c r="C824" s="512" t="s">
        <v>7</v>
      </c>
      <c r="D824" s="513" t="s">
        <v>5</v>
      </c>
      <c r="E824" s="513"/>
      <c r="F824" s="513"/>
      <c r="G824" s="513"/>
      <c r="H824" s="513"/>
      <c r="I824" s="513"/>
      <c r="J824" s="124"/>
      <c r="O824" s="80"/>
      <c r="P824" s="80"/>
      <c r="Q824" s="80"/>
    </row>
    <row r="825" spans="1:10" s="9" customFormat="1" ht="30" customHeight="1">
      <c r="A825" s="513"/>
      <c r="B825" s="512"/>
      <c r="C825" s="512"/>
      <c r="D825" s="419" t="s">
        <v>8</v>
      </c>
      <c r="E825" s="418" t="s">
        <v>1</v>
      </c>
      <c r="F825" s="418" t="s">
        <v>2</v>
      </c>
      <c r="G825" s="418" t="s">
        <v>9</v>
      </c>
      <c r="H825" s="417" t="s">
        <v>3</v>
      </c>
      <c r="I825" s="420" t="s">
        <v>211</v>
      </c>
      <c r="J825" s="123"/>
    </row>
    <row r="826" spans="1:17" s="9" customFormat="1" ht="30" customHeight="1">
      <c r="A826" s="516" t="s">
        <v>112</v>
      </c>
      <c r="B826" s="516"/>
      <c r="C826" s="516"/>
      <c r="D826" s="167">
        <f>D827+D832+D843+D842</f>
        <v>550</v>
      </c>
      <c r="E826" s="122">
        <f>E827+E832+E843+E851+E853+E842</f>
        <v>19.2</v>
      </c>
      <c r="F826" s="122">
        <f>F827+F832+F843+F851+F853+F842</f>
        <v>18.299999999999997</v>
      </c>
      <c r="G826" s="122">
        <f>G827+G832+G843+G851+G853+G842</f>
        <v>95.5</v>
      </c>
      <c r="H826" s="122">
        <f>H827+H832+H843+H851+H853+H842</f>
        <v>623.1999999999999</v>
      </c>
      <c r="I826" s="381"/>
      <c r="J826" s="125"/>
      <c r="O826" s="80"/>
      <c r="P826" s="80"/>
      <c r="Q826" s="80"/>
    </row>
    <row r="827" spans="1:17" s="9" customFormat="1" ht="30" customHeight="1">
      <c r="A827" s="504" t="s">
        <v>269</v>
      </c>
      <c r="B827" s="504"/>
      <c r="C827" s="504"/>
      <c r="D827" s="24">
        <v>100</v>
      </c>
      <c r="E827" s="26">
        <v>0.7000000000000001</v>
      </c>
      <c r="F827" s="26">
        <v>0.1</v>
      </c>
      <c r="G827" s="26">
        <v>1.9</v>
      </c>
      <c r="H827" s="26">
        <v>11.299999999999999</v>
      </c>
      <c r="I827" s="261" t="s">
        <v>270</v>
      </c>
      <c r="J827" s="89"/>
      <c r="O827" s="82"/>
      <c r="P827" s="82"/>
      <c r="Q827" s="82"/>
    </row>
    <row r="828" spans="1:10" s="80" customFormat="1" ht="30" customHeight="1">
      <c r="A828" s="119" t="s">
        <v>271</v>
      </c>
      <c r="B828" s="168">
        <f>C828*1.05</f>
        <v>105</v>
      </c>
      <c r="C828" s="111">
        <v>100</v>
      </c>
      <c r="D828" s="44"/>
      <c r="E828" s="44"/>
      <c r="F828" s="44"/>
      <c r="G828" s="44"/>
      <c r="H828" s="49"/>
      <c r="I828" s="262"/>
      <c r="J828" s="9"/>
    </row>
    <row r="829" spans="1:9" s="9" customFormat="1" ht="30" customHeight="1">
      <c r="A829" s="119" t="s">
        <v>272</v>
      </c>
      <c r="B829" s="168">
        <f>C829*1.02</f>
        <v>102</v>
      </c>
      <c r="C829" s="111">
        <v>100</v>
      </c>
      <c r="D829" s="41"/>
      <c r="E829" s="41"/>
      <c r="F829" s="41"/>
      <c r="G829" s="41"/>
      <c r="H829" s="266"/>
      <c r="I829" s="262"/>
    </row>
    <row r="830" spans="1:9" s="9" customFormat="1" ht="30" customHeight="1">
      <c r="A830" s="506" t="s">
        <v>76</v>
      </c>
      <c r="B830" s="506"/>
      <c r="C830" s="506"/>
      <c r="D830" s="506"/>
      <c r="E830" s="506"/>
      <c r="F830" s="506"/>
      <c r="G830" s="506"/>
      <c r="H830" s="506"/>
      <c r="I830" s="506"/>
    </row>
    <row r="831" spans="1:9" s="9" customFormat="1" ht="30" customHeight="1">
      <c r="A831" s="249" t="s">
        <v>273</v>
      </c>
      <c r="B831" s="168">
        <f>C831*1.82</f>
        <v>182</v>
      </c>
      <c r="C831" s="111">
        <v>100</v>
      </c>
      <c r="D831" s="24">
        <v>100</v>
      </c>
      <c r="E831" s="26">
        <v>0.8333333333333334</v>
      </c>
      <c r="F831" s="26">
        <v>0.1</v>
      </c>
      <c r="G831" s="26">
        <v>1.6</v>
      </c>
      <c r="H831" s="26">
        <v>10.633333333333335</v>
      </c>
      <c r="I831" s="260" t="s">
        <v>274</v>
      </c>
    </row>
    <row r="832" spans="1:9" s="9" customFormat="1" ht="30" customHeight="1">
      <c r="A832" s="502" t="s">
        <v>240</v>
      </c>
      <c r="B832" s="502"/>
      <c r="C832" s="502"/>
      <c r="D832" s="54">
        <v>230</v>
      </c>
      <c r="E832" s="56">
        <v>12.9</v>
      </c>
      <c r="F832" s="56">
        <v>14.5</v>
      </c>
      <c r="G832" s="56">
        <v>37.3</v>
      </c>
      <c r="H832" s="55">
        <f>E832*4+F832*9+G832*4</f>
        <v>331.29999999999995</v>
      </c>
      <c r="I832" s="374" t="s">
        <v>241</v>
      </c>
    </row>
    <row r="833" spans="1:9" s="9" customFormat="1" ht="30" customHeight="1">
      <c r="A833" s="65" t="s">
        <v>90</v>
      </c>
      <c r="B833" s="33">
        <f>C833*1.36</f>
        <v>107.44000000000001</v>
      </c>
      <c r="C833" s="34">
        <v>79</v>
      </c>
      <c r="D833" s="21"/>
      <c r="E833" s="56"/>
      <c r="F833" s="56"/>
      <c r="G833" s="56"/>
      <c r="H833" s="55"/>
      <c r="I833" s="374"/>
    </row>
    <row r="834" spans="1:9" s="9" customFormat="1" ht="30" customHeight="1">
      <c r="A834" s="65" t="s">
        <v>91</v>
      </c>
      <c r="B834" s="33">
        <f>C834*1.18</f>
        <v>93.22</v>
      </c>
      <c r="C834" s="5">
        <f>C833</f>
        <v>79</v>
      </c>
      <c r="D834" s="213"/>
      <c r="E834" s="38"/>
      <c r="F834" s="38"/>
      <c r="G834" s="38"/>
      <c r="H834" s="144"/>
      <c r="I834" s="379"/>
    </row>
    <row r="835" spans="1:9" s="9" customFormat="1" ht="30" customHeight="1">
      <c r="A835" s="71" t="s">
        <v>11</v>
      </c>
      <c r="B835" s="45">
        <v>10</v>
      </c>
      <c r="C835" s="45">
        <v>10</v>
      </c>
      <c r="D835" s="24"/>
      <c r="E835" s="56"/>
      <c r="F835" s="56"/>
      <c r="G835" s="56"/>
      <c r="H835" s="55"/>
      <c r="I835" s="374"/>
    </row>
    <row r="836" spans="1:17" s="155" customFormat="1" ht="30" customHeight="1">
      <c r="A836" s="202" t="s">
        <v>100</v>
      </c>
      <c r="B836" s="30"/>
      <c r="C836" s="30">
        <v>50</v>
      </c>
      <c r="D836" s="24"/>
      <c r="E836" s="56"/>
      <c r="F836" s="56"/>
      <c r="G836" s="56"/>
      <c r="H836" s="55"/>
      <c r="I836" s="374"/>
      <c r="J836" s="9"/>
      <c r="O836" s="9"/>
      <c r="P836" s="9"/>
      <c r="Q836" s="9"/>
    </row>
    <row r="837" spans="1:10" s="9" customFormat="1" ht="30" customHeight="1">
      <c r="A837" s="71" t="s">
        <v>23</v>
      </c>
      <c r="B837" s="45">
        <v>61</v>
      </c>
      <c r="C837" s="45">
        <v>61</v>
      </c>
      <c r="D837" s="24"/>
      <c r="E837" s="56"/>
      <c r="F837" s="56"/>
      <c r="G837" s="56"/>
      <c r="H837" s="55"/>
      <c r="I837" s="374"/>
      <c r="J837" s="80"/>
    </row>
    <row r="838" spans="1:9" s="9" customFormat="1" ht="30" customHeight="1">
      <c r="A838" s="64" t="s">
        <v>67</v>
      </c>
      <c r="B838" s="43">
        <f>C838*1.25</f>
        <v>25</v>
      </c>
      <c r="C838" s="34">
        <v>20</v>
      </c>
      <c r="D838" s="24"/>
      <c r="E838" s="56"/>
      <c r="F838" s="56"/>
      <c r="G838" s="56"/>
      <c r="H838" s="55"/>
      <c r="I838" s="374"/>
    </row>
    <row r="839" spans="1:9" s="9" customFormat="1" ht="30" customHeight="1">
      <c r="A839" s="64" t="s">
        <v>16</v>
      </c>
      <c r="B839" s="43">
        <f>C839*1.33</f>
        <v>26.6</v>
      </c>
      <c r="C839" s="34">
        <v>20</v>
      </c>
      <c r="D839" s="24"/>
      <c r="E839" s="56"/>
      <c r="F839" s="56"/>
      <c r="G839" s="56"/>
      <c r="H839" s="55"/>
      <c r="I839" s="374"/>
    </row>
    <row r="840" spans="1:9" s="9" customFormat="1" ht="30" customHeight="1">
      <c r="A840" s="71" t="s">
        <v>18</v>
      </c>
      <c r="B840" s="45">
        <f>C840*1.19</f>
        <v>11.899999999999999</v>
      </c>
      <c r="C840" s="45">
        <v>10</v>
      </c>
      <c r="D840" s="24"/>
      <c r="E840" s="56"/>
      <c r="F840" s="56"/>
      <c r="G840" s="56"/>
      <c r="H840" s="55"/>
      <c r="I840" s="374"/>
    </row>
    <row r="841" spans="1:9" s="9" customFormat="1" ht="30" customHeight="1">
      <c r="A841" s="72" t="s">
        <v>58</v>
      </c>
      <c r="B841" s="34">
        <v>10</v>
      </c>
      <c r="C841" s="34">
        <v>10</v>
      </c>
      <c r="D841" s="24"/>
      <c r="E841" s="56"/>
      <c r="F841" s="56"/>
      <c r="G841" s="56"/>
      <c r="H841" s="56"/>
      <c r="I841" s="374"/>
    </row>
    <row r="842" spans="1:17" s="80" customFormat="1" ht="30" customHeight="1">
      <c r="A842" s="503" t="s">
        <v>498</v>
      </c>
      <c r="B842" s="503"/>
      <c r="C842" s="503"/>
      <c r="D842" s="24">
        <v>20</v>
      </c>
      <c r="E842" s="56">
        <v>1.2</v>
      </c>
      <c r="F842" s="56">
        <v>1.4</v>
      </c>
      <c r="G842" s="56">
        <v>12.5</v>
      </c>
      <c r="H842" s="55">
        <f>G842*4+F842*9+E842*4</f>
        <v>67.4</v>
      </c>
      <c r="I842" s="259"/>
      <c r="J842" s="9"/>
      <c r="O842" s="9"/>
      <c r="P842" s="9"/>
      <c r="Q842" s="9"/>
    </row>
    <row r="843" spans="1:9" s="9" customFormat="1" ht="30" customHeight="1">
      <c r="A843" s="503" t="s">
        <v>223</v>
      </c>
      <c r="B843" s="503"/>
      <c r="C843" s="503"/>
      <c r="D843" s="24">
        <v>200</v>
      </c>
      <c r="E843" s="56">
        <v>1.9</v>
      </c>
      <c r="F843" s="56">
        <v>1.7</v>
      </c>
      <c r="G843" s="56">
        <v>17</v>
      </c>
      <c r="H843" s="55">
        <f>G843*4+F843*9+E843*4</f>
        <v>90.89999999999999</v>
      </c>
      <c r="I843" s="259" t="s">
        <v>224</v>
      </c>
    </row>
    <row r="844" spans="1:9" s="9" customFormat="1" ht="30" customHeight="1">
      <c r="A844" s="113" t="s">
        <v>114</v>
      </c>
      <c r="B844" s="111">
        <v>4</v>
      </c>
      <c r="C844" s="111">
        <v>4</v>
      </c>
      <c r="D844" s="111"/>
      <c r="E844" s="128"/>
      <c r="F844" s="128"/>
      <c r="G844" s="128"/>
      <c r="H844" s="111"/>
      <c r="I844" s="373"/>
    </row>
    <row r="845" spans="1:17" s="9" customFormat="1" ht="30" customHeight="1">
      <c r="A845" s="67" t="s">
        <v>4</v>
      </c>
      <c r="B845" s="35">
        <v>15</v>
      </c>
      <c r="C845" s="35">
        <v>15</v>
      </c>
      <c r="D845" s="35"/>
      <c r="E845" s="128"/>
      <c r="F845" s="128"/>
      <c r="G845" s="128"/>
      <c r="H845" s="111"/>
      <c r="I845" s="373"/>
      <c r="O845" s="80"/>
      <c r="P845" s="80"/>
      <c r="Q845" s="80"/>
    </row>
    <row r="846" spans="1:17" s="80" customFormat="1" ht="30" customHeight="1">
      <c r="A846" s="67" t="s">
        <v>56</v>
      </c>
      <c r="B846" s="35">
        <v>50</v>
      </c>
      <c r="C846" s="35">
        <v>50</v>
      </c>
      <c r="D846" s="35"/>
      <c r="E846" s="128"/>
      <c r="F846" s="128"/>
      <c r="G846" s="128"/>
      <c r="H846" s="111"/>
      <c r="I846" s="373"/>
      <c r="J846" s="9"/>
      <c r="O846" s="9"/>
      <c r="P846" s="9"/>
      <c r="Q846" s="9"/>
    </row>
    <row r="847" spans="1:17" s="80" customFormat="1" ht="30" customHeight="1">
      <c r="A847" s="73" t="s">
        <v>41</v>
      </c>
      <c r="B847" s="243">
        <f>B846*460/1000</f>
        <v>23</v>
      </c>
      <c r="C847" s="243">
        <f>C846*460/1000</f>
        <v>23</v>
      </c>
      <c r="D847" s="194"/>
      <c r="E847" s="56"/>
      <c r="F847" s="56"/>
      <c r="G847" s="56"/>
      <c r="H847" s="55"/>
      <c r="I847" s="373"/>
      <c r="J847" s="9"/>
      <c r="K847" s="1" t="s">
        <v>51</v>
      </c>
      <c r="L847" s="9"/>
      <c r="O847" s="9"/>
      <c r="P847" s="9"/>
      <c r="Q847" s="9"/>
    </row>
    <row r="848" spans="1:12" s="80" customFormat="1" ht="30" customHeight="1">
      <c r="A848" s="73" t="s">
        <v>42</v>
      </c>
      <c r="B848" s="243">
        <f>B846*120/1000</f>
        <v>6</v>
      </c>
      <c r="C848" s="243">
        <f>C846*120/1000</f>
        <v>6</v>
      </c>
      <c r="D848" s="194"/>
      <c r="E848" s="56"/>
      <c r="F848" s="56"/>
      <c r="G848" s="56"/>
      <c r="H848" s="55"/>
      <c r="I848" s="373"/>
      <c r="J848" s="9"/>
      <c r="K848" s="347" t="s">
        <v>176</v>
      </c>
      <c r="L848" s="89">
        <f>D934+D853</f>
        <v>70</v>
      </c>
    </row>
    <row r="849" spans="1:12" s="80" customFormat="1" ht="30" customHeight="1">
      <c r="A849" s="230" t="s">
        <v>156</v>
      </c>
      <c r="B849" s="231">
        <f>B846-B847</f>
        <v>27</v>
      </c>
      <c r="C849" s="231">
        <f>C846-C847</f>
        <v>27</v>
      </c>
      <c r="D849" s="232"/>
      <c r="E849" s="233"/>
      <c r="F849" s="233"/>
      <c r="G849" s="233"/>
      <c r="H849" s="234"/>
      <c r="I849" s="377"/>
      <c r="J849" s="9"/>
      <c r="K849" s="347" t="s">
        <v>136</v>
      </c>
      <c r="L849" s="158">
        <f>D932+D851+C894</f>
        <v>119</v>
      </c>
    </row>
    <row r="850" spans="1:17" s="9" customFormat="1" ht="30" customHeight="1">
      <c r="A850" s="230" t="s">
        <v>157</v>
      </c>
      <c r="B850" s="231">
        <f>B846-B848</f>
        <v>44</v>
      </c>
      <c r="C850" s="231">
        <f>C846-C848</f>
        <v>44</v>
      </c>
      <c r="D850" s="232"/>
      <c r="E850" s="233"/>
      <c r="F850" s="233"/>
      <c r="G850" s="233"/>
      <c r="H850" s="234"/>
      <c r="I850" s="377"/>
      <c r="J850" s="80"/>
      <c r="K850" s="105" t="s">
        <v>162</v>
      </c>
      <c r="L850" s="159">
        <f>+C927+C902</f>
        <v>9</v>
      </c>
      <c r="O850" s="80"/>
      <c r="P850" s="80"/>
      <c r="Q850" s="80"/>
    </row>
    <row r="851" spans="1:13" s="80" customFormat="1" ht="30" customHeight="1">
      <c r="A851" s="435" t="s">
        <v>20</v>
      </c>
      <c r="B851" s="164">
        <v>40</v>
      </c>
      <c r="C851" s="164">
        <v>40</v>
      </c>
      <c r="D851" s="103">
        <v>40</v>
      </c>
      <c r="E851" s="110">
        <v>1.8</v>
      </c>
      <c r="F851" s="110">
        <v>0.4</v>
      </c>
      <c r="G851" s="110">
        <v>17.4</v>
      </c>
      <c r="H851" s="141">
        <v>81</v>
      </c>
      <c r="I851" s="374"/>
      <c r="J851" s="9"/>
      <c r="K851" s="347" t="s">
        <v>72</v>
      </c>
      <c r="L851" s="160">
        <f>C837</f>
        <v>61</v>
      </c>
      <c r="M851" s="9"/>
    </row>
    <row r="852" spans="1:12" s="80" customFormat="1" ht="30" customHeight="1">
      <c r="A852" s="503" t="s">
        <v>80</v>
      </c>
      <c r="B852" s="503"/>
      <c r="C852" s="503"/>
      <c r="D852" s="103">
        <v>40</v>
      </c>
      <c r="E852" s="128"/>
      <c r="F852" s="128"/>
      <c r="G852" s="128"/>
      <c r="H852" s="128"/>
      <c r="I852" s="373"/>
      <c r="J852" s="126"/>
      <c r="K852" s="347" t="s">
        <v>177</v>
      </c>
      <c r="L852" s="158"/>
    </row>
    <row r="853" spans="1:12" s="80" customFormat="1" ht="30" customHeight="1">
      <c r="A853" s="434" t="s">
        <v>27</v>
      </c>
      <c r="B853" s="111">
        <v>20</v>
      </c>
      <c r="C853" s="111">
        <v>20</v>
      </c>
      <c r="D853" s="24">
        <v>20</v>
      </c>
      <c r="E853" s="26">
        <v>0.7</v>
      </c>
      <c r="F853" s="26">
        <v>0.2</v>
      </c>
      <c r="G853" s="26">
        <v>9.4</v>
      </c>
      <c r="H853" s="30">
        <v>41.3</v>
      </c>
      <c r="I853" s="374"/>
      <c r="J853" s="9"/>
      <c r="K853" s="105" t="s">
        <v>28</v>
      </c>
      <c r="L853" s="161">
        <f>C881++C861</f>
        <v>37</v>
      </c>
    </row>
    <row r="854" spans="1:12" s="9" customFormat="1" ht="30" customHeight="1">
      <c r="A854" s="516" t="s">
        <v>63</v>
      </c>
      <c r="B854" s="516"/>
      <c r="C854" s="516"/>
      <c r="D854" s="167">
        <f>D855+265++D920+D929+105</f>
        <v>850</v>
      </c>
      <c r="E854" s="122">
        <f>E855+E872+E920+E929+E932+E934+E891</f>
        <v>33.2</v>
      </c>
      <c r="F854" s="122">
        <f>F855+F872+F920+F929+F932+F934+F891</f>
        <v>31.800000000000004</v>
      </c>
      <c r="G854" s="122">
        <f>G855+G872+G920+G929+G932+G934+G891</f>
        <v>119.50000000000001</v>
      </c>
      <c r="H854" s="122">
        <f>H855+H872+H920+H929+H932+H934+H891</f>
        <v>895</v>
      </c>
      <c r="I854" s="381"/>
      <c r="K854" s="347" t="s">
        <v>353</v>
      </c>
      <c r="L854" s="161">
        <f>C885+C828+C921+C923+C925+C841+C838+C840+C875+C857+C859+C865++C926+C886++C884+C877+C890+C895</f>
        <v>520.5999999999999</v>
      </c>
    </row>
    <row r="855" spans="1:17" s="80" customFormat="1" ht="30" customHeight="1">
      <c r="A855" s="509" t="s">
        <v>276</v>
      </c>
      <c r="B855" s="509"/>
      <c r="C855" s="509"/>
      <c r="D855" s="24">
        <v>100</v>
      </c>
      <c r="E855" s="26">
        <v>5.1</v>
      </c>
      <c r="F855" s="26">
        <v>9.7</v>
      </c>
      <c r="G855" s="26">
        <v>5.2</v>
      </c>
      <c r="H855" s="30">
        <f>G855*4+F855*9+E855*4</f>
        <v>128.5</v>
      </c>
      <c r="I855" s="260" t="s">
        <v>277</v>
      </c>
      <c r="J855" s="9"/>
      <c r="K855" s="105" t="s">
        <v>29</v>
      </c>
      <c r="L855" s="16"/>
      <c r="N855" s="9"/>
      <c r="O855" s="9"/>
      <c r="P855" s="9"/>
      <c r="Q855" s="9"/>
    </row>
    <row r="856" spans="1:17" s="80" customFormat="1" ht="30" customHeight="1">
      <c r="A856" s="227" t="s">
        <v>137</v>
      </c>
      <c r="B856" s="61">
        <f>C856*1.05</f>
        <v>31.5</v>
      </c>
      <c r="C856" s="44">
        <v>30</v>
      </c>
      <c r="D856" s="24"/>
      <c r="E856" s="219"/>
      <c r="F856" s="219"/>
      <c r="G856" s="219"/>
      <c r="H856" s="219"/>
      <c r="I856" s="261"/>
      <c r="J856" s="9"/>
      <c r="K856" s="105" t="s">
        <v>178</v>
      </c>
      <c r="L856" s="9">
        <f>C930</f>
        <v>25</v>
      </c>
      <c r="N856" s="9"/>
      <c r="O856" s="9"/>
      <c r="P856" s="9"/>
      <c r="Q856" s="9"/>
    </row>
    <row r="857" spans="1:12" s="9" customFormat="1" ht="30" customHeight="1">
      <c r="A857" s="64" t="s">
        <v>17</v>
      </c>
      <c r="B857" s="48">
        <f>C857*1.25</f>
        <v>27.5</v>
      </c>
      <c r="C857" s="43">
        <v>22</v>
      </c>
      <c r="D857" s="24"/>
      <c r="E857" s="128"/>
      <c r="F857" s="128"/>
      <c r="G857" s="128"/>
      <c r="H857" s="168"/>
      <c r="I857" s="373"/>
      <c r="K857" s="347" t="s">
        <v>354</v>
      </c>
      <c r="L857" s="18">
        <f>C931+C845+B928+C888</f>
        <v>28.5</v>
      </c>
    </row>
    <row r="858" spans="1:12" s="9" customFormat="1" ht="30" customHeight="1">
      <c r="A858" s="64" t="s">
        <v>16</v>
      </c>
      <c r="B858" s="48">
        <f>C858*1.33</f>
        <v>29.26</v>
      </c>
      <c r="C858" s="43">
        <v>22</v>
      </c>
      <c r="D858" s="24"/>
      <c r="E858" s="128"/>
      <c r="F858" s="128"/>
      <c r="G858" s="128"/>
      <c r="H858" s="168"/>
      <c r="I858" s="373"/>
      <c r="K858" s="347" t="s">
        <v>395</v>
      </c>
      <c r="L858" s="80"/>
    </row>
    <row r="859" spans="1:17" s="9" customFormat="1" ht="30" customHeight="1">
      <c r="A859" s="64" t="s">
        <v>67</v>
      </c>
      <c r="B859" s="43">
        <f>C859*1.25</f>
        <v>20</v>
      </c>
      <c r="C859" s="43">
        <v>16</v>
      </c>
      <c r="D859" s="24"/>
      <c r="E859" s="128"/>
      <c r="F859" s="128"/>
      <c r="G859" s="128"/>
      <c r="H859" s="168"/>
      <c r="I859" s="373"/>
      <c r="K859" s="105" t="s">
        <v>31</v>
      </c>
      <c r="L859" s="9">
        <f>D842</f>
        <v>20</v>
      </c>
      <c r="N859" s="80"/>
      <c r="O859" s="80"/>
      <c r="P859" s="80"/>
      <c r="Q859" s="80"/>
    </row>
    <row r="860" spans="1:17" s="9" customFormat="1" ht="30" customHeight="1">
      <c r="A860" s="64" t="s">
        <v>16</v>
      </c>
      <c r="B860" s="48">
        <f>C860*1.33</f>
        <v>21.28</v>
      </c>
      <c r="C860" s="43">
        <v>16</v>
      </c>
      <c r="D860" s="24"/>
      <c r="E860" s="128"/>
      <c r="F860" s="128"/>
      <c r="G860" s="128"/>
      <c r="H860" s="168"/>
      <c r="I860" s="373"/>
      <c r="J860" s="80"/>
      <c r="K860" s="105" t="s">
        <v>77</v>
      </c>
      <c r="N860" s="80"/>
      <c r="O860" s="80"/>
      <c r="P860" s="80"/>
      <c r="Q860" s="80"/>
    </row>
    <row r="861" spans="1:11" s="9" customFormat="1" ht="30" customHeight="1">
      <c r="A861" s="64" t="s">
        <v>12</v>
      </c>
      <c r="B861" s="43">
        <f>C861*1.33</f>
        <v>29.26</v>
      </c>
      <c r="C861" s="5">
        <v>22</v>
      </c>
      <c r="D861" s="24"/>
      <c r="E861" s="128"/>
      <c r="F861" s="128"/>
      <c r="G861" s="128"/>
      <c r="H861" s="168"/>
      <c r="I861" s="373"/>
      <c r="K861" s="347" t="s">
        <v>39</v>
      </c>
    </row>
    <row r="862" spans="1:12" s="9" customFormat="1" ht="30" customHeight="1">
      <c r="A862" s="64" t="s">
        <v>13</v>
      </c>
      <c r="B862" s="43">
        <f>C862*1.43</f>
        <v>31.459999999999997</v>
      </c>
      <c r="C862" s="5">
        <v>22</v>
      </c>
      <c r="D862" s="24"/>
      <c r="E862" s="128"/>
      <c r="F862" s="128"/>
      <c r="G862" s="128"/>
      <c r="H862" s="168"/>
      <c r="I862" s="373"/>
      <c r="K862" s="105" t="s">
        <v>179</v>
      </c>
      <c r="L862" s="9">
        <f>C844</f>
        <v>4</v>
      </c>
    </row>
    <row r="863" spans="1:12" s="9" customFormat="1" ht="30" customHeight="1">
      <c r="A863" s="67" t="s">
        <v>14</v>
      </c>
      <c r="B863" s="43">
        <f>C863*1.54</f>
        <v>33.88</v>
      </c>
      <c r="C863" s="5">
        <v>22</v>
      </c>
      <c r="D863" s="24"/>
      <c r="E863" s="128"/>
      <c r="F863" s="56"/>
      <c r="G863" s="56"/>
      <c r="H863" s="55"/>
      <c r="I863" s="373"/>
      <c r="K863" s="105" t="s">
        <v>32</v>
      </c>
      <c r="L863" s="18"/>
    </row>
    <row r="864" spans="1:12" s="9" customFormat="1" ht="30" customHeight="1">
      <c r="A864" s="67" t="s">
        <v>15</v>
      </c>
      <c r="B864" s="43">
        <f>C864*1.67</f>
        <v>36.739999999999995</v>
      </c>
      <c r="C864" s="5">
        <v>22</v>
      </c>
      <c r="D864" s="24"/>
      <c r="E864" s="128"/>
      <c r="F864" s="128"/>
      <c r="G864" s="128"/>
      <c r="H864" s="168"/>
      <c r="I864" s="373"/>
      <c r="K864" s="105" t="s">
        <v>180</v>
      </c>
      <c r="L864" s="18">
        <f>C833+C873</f>
        <v>95</v>
      </c>
    </row>
    <row r="865" spans="1:13" s="80" customFormat="1" ht="30" customHeight="1">
      <c r="A865" s="64" t="s">
        <v>18</v>
      </c>
      <c r="B865" s="45">
        <f>C865*1.19</f>
        <v>11.899999999999999</v>
      </c>
      <c r="C865" s="5">
        <v>10</v>
      </c>
      <c r="D865" s="24"/>
      <c r="E865" s="128"/>
      <c r="F865" s="128"/>
      <c r="G865" s="128"/>
      <c r="H865" s="168"/>
      <c r="I865" s="374"/>
      <c r="J865" s="9"/>
      <c r="K865" s="347" t="s">
        <v>182</v>
      </c>
      <c r="L865" s="18">
        <f>C892</f>
        <v>67</v>
      </c>
      <c r="M865" s="9"/>
    </row>
    <row r="866" spans="1:17" s="9" customFormat="1" ht="30" customHeight="1">
      <c r="A866" s="64" t="s">
        <v>11</v>
      </c>
      <c r="B866" s="43">
        <v>5</v>
      </c>
      <c r="C866" s="43">
        <v>5</v>
      </c>
      <c r="D866" s="24"/>
      <c r="E866" s="48"/>
      <c r="F866" s="56"/>
      <c r="G866" s="56"/>
      <c r="H866" s="55"/>
      <c r="I866" s="373"/>
      <c r="K866" s="105" t="s">
        <v>181</v>
      </c>
      <c r="N866" s="80"/>
      <c r="O866" s="80"/>
      <c r="P866" s="80"/>
      <c r="Q866" s="80"/>
    </row>
    <row r="867" spans="1:12" s="9" customFormat="1" ht="30" customHeight="1">
      <c r="A867" s="506" t="s">
        <v>76</v>
      </c>
      <c r="B867" s="506"/>
      <c r="C867" s="506"/>
      <c r="D867" s="506"/>
      <c r="E867" s="506"/>
      <c r="F867" s="506"/>
      <c r="G867" s="506"/>
      <c r="H867" s="506"/>
      <c r="I867" s="506"/>
      <c r="K867" s="347" t="s">
        <v>183</v>
      </c>
      <c r="L867" s="18">
        <f>C856</f>
        <v>30</v>
      </c>
    </row>
    <row r="868" spans="1:12" s="9" customFormat="1" ht="30" customHeight="1">
      <c r="A868" s="566" t="s">
        <v>371</v>
      </c>
      <c r="B868" s="566"/>
      <c r="C868" s="566"/>
      <c r="D868" s="24">
        <v>100</v>
      </c>
      <c r="E868" s="26">
        <v>1</v>
      </c>
      <c r="F868" s="26">
        <v>5.1</v>
      </c>
      <c r="G868" s="26">
        <v>3.5</v>
      </c>
      <c r="H868" s="26">
        <f>E868*4+F868*9+G868*4</f>
        <v>63.9</v>
      </c>
      <c r="I868" s="260" t="s">
        <v>372</v>
      </c>
      <c r="K868" s="352" t="s">
        <v>184</v>
      </c>
      <c r="L868" s="18">
        <f>B846+C896</f>
        <v>70</v>
      </c>
    </row>
    <row r="869" spans="1:17" s="9" customFormat="1" ht="30" customHeight="1">
      <c r="A869" s="71" t="s">
        <v>102</v>
      </c>
      <c r="B869" s="115">
        <f>C869*1.02</f>
        <v>96.9</v>
      </c>
      <c r="C869" s="75">
        <v>95</v>
      </c>
      <c r="D869" s="180"/>
      <c r="E869" s="26"/>
      <c r="F869" s="26"/>
      <c r="G869" s="26"/>
      <c r="H869" s="26"/>
      <c r="I869" s="260"/>
      <c r="K869" s="352" t="s">
        <v>185</v>
      </c>
      <c r="L869" s="18"/>
      <c r="N869" s="80"/>
      <c r="O869" s="80"/>
      <c r="P869" s="80"/>
      <c r="Q869" s="80"/>
    </row>
    <row r="870" spans="1:17" s="9" customFormat="1" ht="30" customHeight="1">
      <c r="A870" s="72" t="s">
        <v>172</v>
      </c>
      <c r="B870" s="198">
        <f>C870*1.18</f>
        <v>112.1</v>
      </c>
      <c r="C870" s="75">
        <v>95</v>
      </c>
      <c r="D870" s="180"/>
      <c r="E870" s="26"/>
      <c r="F870" s="26"/>
      <c r="G870" s="26"/>
      <c r="H870" s="26"/>
      <c r="I870" s="260"/>
      <c r="J870" s="80"/>
      <c r="K870" s="347" t="s">
        <v>186</v>
      </c>
      <c r="L870" s="80"/>
      <c r="N870" s="80"/>
      <c r="O870" s="80"/>
      <c r="P870" s="80"/>
      <c r="Q870" s="80"/>
    </row>
    <row r="871" spans="1:17" s="80" customFormat="1" ht="30" customHeight="1">
      <c r="A871" s="361" t="s">
        <v>373</v>
      </c>
      <c r="B871" s="362">
        <v>5</v>
      </c>
      <c r="C871" s="362">
        <v>5</v>
      </c>
      <c r="D871" s="180"/>
      <c r="E871" s="26"/>
      <c r="F871" s="26"/>
      <c r="G871" s="26"/>
      <c r="H871" s="26"/>
      <c r="I871" s="260"/>
      <c r="J871" s="9"/>
      <c r="K871" s="347" t="s">
        <v>187</v>
      </c>
      <c r="L871" s="18">
        <f>+B889</f>
        <v>5</v>
      </c>
      <c r="M871" s="9"/>
      <c r="N871" s="9"/>
      <c r="O871" s="9"/>
      <c r="P871" s="9"/>
      <c r="Q871" s="9"/>
    </row>
    <row r="872" spans="1:17" s="80" customFormat="1" ht="30" customHeight="1">
      <c r="A872" s="504" t="s">
        <v>454</v>
      </c>
      <c r="B872" s="504"/>
      <c r="C872" s="504"/>
      <c r="D872" s="24" t="s">
        <v>159</v>
      </c>
      <c r="E872" s="26">
        <v>7.5</v>
      </c>
      <c r="F872" s="26">
        <v>4.9</v>
      </c>
      <c r="G872" s="26">
        <v>12.1</v>
      </c>
      <c r="H872" s="201">
        <f>E872*4+F872*9+G872*4</f>
        <v>122.5</v>
      </c>
      <c r="I872" s="340" t="s">
        <v>455</v>
      </c>
      <c r="J872" s="9"/>
      <c r="K872" s="347" t="s">
        <v>188</v>
      </c>
      <c r="L872" s="9"/>
      <c r="M872" s="9"/>
      <c r="N872" s="9"/>
      <c r="O872" s="9"/>
      <c r="P872" s="9"/>
      <c r="Q872" s="9"/>
    </row>
    <row r="873" spans="1:13" s="80" customFormat="1" ht="30" customHeight="1">
      <c r="A873" s="65" t="s">
        <v>90</v>
      </c>
      <c r="B873" s="33">
        <f>C873*1.36</f>
        <v>21.76</v>
      </c>
      <c r="C873" s="5">
        <v>16</v>
      </c>
      <c r="D873" s="213"/>
      <c r="E873" s="38"/>
      <c r="F873" s="38"/>
      <c r="G873" s="38"/>
      <c r="H873" s="144"/>
      <c r="I873" s="379"/>
      <c r="J873" s="9"/>
      <c r="K873" s="352" t="s">
        <v>33</v>
      </c>
      <c r="L873" s="18">
        <f>C887+C904</f>
        <v>10</v>
      </c>
      <c r="M873" s="9"/>
    </row>
    <row r="874" spans="1:13" s="80" customFormat="1" ht="30" customHeight="1">
      <c r="A874" s="65" t="s">
        <v>91</v>
      </c>
      <c r="B874" s="33">
        <f>C874*1.18</f>
        <v>18.88</v>
      </c>
      <c r="C874" s="5">
        <v>16</v>
      </c>
      <c r="D874" s="213"/>
      <c r="E874" s="38"/>
      <c r="F874" s="38"/>
      <c r="G874" s="38"/>
      <c r="H874" s="144"/>
      <c r="I874" s="379"/>
      <c r="K874" s="105" t="s">
        <v>34</v>
      </c>
      <c r="L874" s="18">
        <f>C835+C866+C922+C903</f>
        <v>22</v>
      </c>
      <c r="M874" s="9"/>
    </row>
    <row r="875" spans="1:18" s="80" customFormat="1" ht="30" customHeight="1">
      <c r="A875" s="71" t="s">
        <v>456</v>
      </c>
      <c r="B875" s="115">
        <f>C875*1.25</f>
        <v>56.25</v>
      </c>
      <c r="C875" s="75">
        <v>45</v>
      </c>
      <c r="D875" s="24"/>
      <c r="E875" s="26"/>
      <c r="F875" s="26"/>
      <c r="G875" s="26"/>
      <c r="H875" s="24"/>
      <c r="I875" s="484"/>
      <c r="J875" s="126"/>
      <c r="K875" s="105" t="s">
        <v>189</v>
      </c>
      <c r="L875" s="18">
        <f>C901</f>
        <v>7</v>
      </c>
      <c r="M875" s="16"/>
      <c r="N875" s="16"/>
      <c r="O875" s="16"/>
      <c r="P875" s="16"/>
      <c r="Q875" s="16"/>
      <c r="R875" s="89"/>
    </row>
    <row r="876" spans="1:18" s="80" customFormat="1" ht="30" customHeight="1">
      <c r="A876" s="71" t="s">
        <v>16</v>
      </c>
      <c r="B876" s="115">
        <f>C876*1.33</f>
        <v>59.85</v>
      </c>
      <c r="C876" s="75">
        <v>45</v>
      </c>
      <c r="D876" s="24"/>
      <c r="E876" s="26"/>
      <c r="F876" s="26"/>
      <c r="G876" s="26"/>
      <c r="H876" s="30"/>
      <c r="I876" s="484"/>
      <c r="K876" s="105" t="s">
        <v>369</v>
      </c>
      <c r="L876" s="9"/>
      <c r="M876" s="277"/>
      <c r="N876" s="524"/>
      <c r="O876" s="524"/>
      <c r="P876" s="526"/>
      <c r="Q876" s="542"/>
      <c r="R876" s="542"/>
    </row>
    <row r="877" spans="1:18" s="9" customFormat="1" ht="30" customHeight="1">
      <c r="A877" s="71" t="s">
        <v>363</v>
      </c>
      <c r="B877" s="45">
        <f>C877*1.25</f>
        <v>27.5</v>
      </c>
      <c r="C877" s="75">
        <v>22</v>
      </c>
      <c r="D877" s="24"/>
      <c r="E877" s="26"/>
      <c r="F877" s="26"/>
      <c r="G877" s="26"/>
      <c r="H877" s="30"/>
      <c r="I877" s="484"/>
      <c r="J877" s="2"/>
      <c r="K877" s="105" t="s">
        <v>190</v>
      </c>
      <c r="L877" s="9">
        <v>1.2</v>
      </c>
      <c r="M877" s="278"/>
      <c r="N877" s="527"/>
      <c r="O877" s="527"/>
      <c r="P877" s="524"/>
      <c r="Q877" s="542"/>
      <c r="R877" s="542"/>
    </row>
    <row r="878" spans="1:18" s="9" customFormat="1" ht="30" customHeight="1">
      <c r="A878" s="71" t="s">
        <v>12</v>
      </c>
      <c r="B878" s="45">
        <f>C878*1.33</f>
        <v>19.950000000000003</v>
      </c>
      <c r="C878" s="75">
        <v>15</v>
      </c>
      <c r="D878" s="24"/>
      <c r="E878" s="26"/>
      <c r="F878" s="26"/>
      <c r="G878" s="26"/>
      <c r="H878" s="30"/>
      <c r="I878" s="484"/>
      <c r="J878" s="2"/>
      <c r="K878" s="347" t="s">
        <v>191</v>
      </c>
      <c r="L878" s="9">
        <v>3</v>
      </c>
      <c r="M878" s="277"/>
      <c r="N878" s="524"/>
      <c r="O878" s="524"/>
      <c r="P878" s="524"/>
      <c r="Q878" s="524"/>
      <c r="R878" s="524"/>
    </row>
    <row r="879" spans="1:19" s="9" customFormat="1" ht="30" customHeight="1">
      <c r="A879" s="71" t="s">
        <v>13</v>
      </c>
      <c r="B879" s="45">
        <f>C879*1.43</f>
        <v>21.45</v>
      </c>
      <c r="C879" s="75">
        <v>15</v>
      </c>
      <c r="D879" s="24"/>
      <c r="E879" s="26"/>
      <c r="F879" s="26"/>
      <c r="G879" s="26"/>
      <c r="H879" s="30"/>
      <c r="I879" s="484"/>
      <c r="J879" s="19"/>
      <c r="M879" s="279"/>
      <c r="N879" s="543"/>
      <c r="O879" s="543"/>
      <c r="P879" s="543"/>
      <c r="Q879" s="543"/>
      <c r="R879" s="543"/>
      <c r="S879" s="16"/>
    </row>
    <row r="880" spans="1:19" s="9" customFormat="1" ht="30" customHeight="1">
      <c r="A880" s="71" t="s">
        <v>14</v>
      </c>
      <c r="B880" s="45">
        <f>C880*1.54</f>
        <v>23.1</v>
      </c>
      <c r="C880" s="75">
        <v>15</v>
      </c>
      <c r="D880" s="24"/>
      <c r="E880" s="26"/>
      <c r="F880" s="26"/>
      <c r="G880" s="26"/>
      <c r="H880" s="30"/>
      <c r="I880" s="484"/>
      <c r="J880" s="19"/>
      <c r="K880" s="80"/>
      <c r="L880" s="80"/>
      <c r="N880" s="16"/>
      <c r="O880" s="16"/>
      <c r="P880" s="280"/>
      <c r="Q880" s="281"/>
      <c r="R880" s="282"/>
      <c r="S880" s="16"/>
    </row>
    <row r="881" spans="1:19" s="9" customFormat="1" ht="30" customHeight="1">
      <c r="A881" s="71" t="s">
        <v>15</v>
      </c>
      <c r="B881" s="45">
        <f>C881*1.67</f>
        <v>25.049999999999997</v>
      </c>
      <c r="C881" s="75">
        <v>15</v>
      </c>
      <c r="D881" s="24"/>
      <c r="E881" s="26"/>
      <c r="F881" s="26"/>
      <c r="G881" s="26"/>
      <c r="H881" s="30"/>
      <c r="I881" s="484"/>
      <c r="J881" s="19"/>
      <c r="N881" s="16"/>
      <c r="O881" s="16"/>
      <c r="P881" s="280"/>
      <c r="Q881" s="283"/>
      <c r="R881" s="284"/>
      <c r="S881" s="16"/>
    </row>
    <row r="882" spans="1:19" s="9" customFormat="1" ht="30" customHeight="1">
      <c r="A882" s="71" t="s">
        <v>457</v>
      </c>
      <c r="B882" s="115">
        <v>15</v>
      </c>
      <c r="C882" s="75">
        <v>15</v>
      </c>
      <c r="D882" s="24"/>
      <c r="E882" s="26"/>
      <c r="F882" s="26"/>
      <c r="G882" s="26"/>
      <c r="H882" s="30"/>
      <c r="I882" s="484"/>
      <c r="J882" s="19"/>
      <c r="K882" s="80"/>
      <c r="L882" s="80"/>
      <c r="N882" s="16"/>
      <c r="O882" s="16"/>
      <c r="P882" s="280"/>
      <c r="Q882" s="283"/>
      <c r="R882" s="284"/>
      <c r="S882" s="16"/>
    </row>
    <row r="883" spans="1:19" s="80" customFormat="1" ht="30" customHeight="1">
      <c r="A883" s="71" t="s">
        <v>406</v>
      </c>
      <c r="B883" s="45">
        <f>C883*1.25</f>
        <v>18.75</v>
      </c>
      <c r="C883" s="75">
        <v>15</v>
      </c>
      <c r="D883" s="24"/>
      <c r="E883" s="26"/>
      <c r="F883" s="26"/>
      <c r="G883" s="26"/>
      <c r="H883" s="30"/>
      <c r="I883" s="484"/>
      <c r="J883" s="19"/>
      <c r="N883" s="89"/>
      <c r="O883" s="89"/>
      <c r="P883" s="280"/>
      <c r="Q883" s="283"/>
      <c r="R883" s="284"/>
      <c r="S883" s="89"/>
    </row>
    <row r="884" spans="1:19" s="9" customFormat="1" ht="30" customHeight="1">
      <c r="A884" s="69" t="s">
        <v>16</v>
      </c>
      <c r="B884" s="115">
        <f>C884*1.33</f>
        <v>19.950000000000003</v>
      </c>
      <c r="C884" s="75">
        <v>15</v>
      </c>
      <c r="D884" s="24"/>
      <c r="E884" s="26"/>
      <c r="F884" s="26"/>
      <c r="G884" s="26"/>
      <c r="H884" s="30"/>
      <c r="I884" s="484"/>
      <c r="J884" s="2"/>
      <c r="N884" s="89"/>
      <c r="O884" s="89"/>
      <c r="P884" s="280"/>
      <c r="Q884" s="285"/>
      <c r="R884" s="286"/>
      <c r="S884" s="16"/>
    </row>
    <row r="885" spans="1:19" s="9" customFormat="1" ht="30" customHeight="1">
      <c r="A885" s="69" t="s">
        <v>18</v>
      </c>
      <c r="B885" s="45">
        <f>C885*1.19</f>
        <v>11.899999999999999</v>
      </c>
      <c r="C885" s="75">
        <v>10</v>
      </c>
      <c r="D885" s="24"/>
      <c r="E885" s="26"/>
      <c r="F885" s="26"/>
      <c r="G885" s="26"/>
      <c r="H885" s="30"/>
      <c r="I885" s="484"/>
      <c r="J885" s="2"/>
      <c r="N885" s="89"/>
      <c r="O885" s="89"/>
      <c r="P885" s="280"/>
      <c r="Q885" s="283"/>
      <c r="R885" s="284"/>
      <c r="S885" s="16"/>
    </row>
    <row r="886" spans="1:19" s="9" customFormat="1" ht="30" customHeight="1">
      <c r="A886" s="71" t="s">
        <v>458</v>
      </c>
      <c r="B886" s="115">
        <v>3</v>
      </c>
      <c r="C886" s="115">
        <v>3</v>
      </c>
      <c r="D886" s="24"/>
      <c r="E886" s="26"/>
      <c r="F886" s="26"/>
      <c r="G886" s="26"/>
      <c r="H886" s="30"/>
      <c r="I886" s="484"/>
      <c r="J886" s="2"/>
      <c r="N886" s="89"/>
      <c r="O886" s="89"/>
      <c r="P886" s="280"/>
      <c r="Q886" s="287"/>
      <c r="R886" s="288"/>
      <c r="S886" s="16"/>
    </row>
    <row r="887" spans="1:19" s="9" customFormat="1" ht="30" customHeight="1">
      <c r="A887" s="71" t="s">
        <v>19</v>
      </c>
      <c r="B887" s="115">
        <v>5</v>
      </c>
      <c r="C887" s="115">
        <v>5</v>
      </c>
      <c r="D887" s="24"/>
      <c r="E887" s="26"/>
      <c r="F887" s="26"/>
      <c r="G887" s="26"/>
      <c r="H887" s="30"/>
      <c r="I887" s="484"/>
      <c r="J887" s="2"/>
      <c r="N887" s="16"/>
      <c r="O887" s="16"/>
      <c r="P887" s="280"/>
      <c r="Q887" s="281"/>
      <c r="R887" s="282"/>
      <c r="S887" s="16"/>
    </row>
    <row r="888" spans="1:19" s="9" customFormat="1" ht="30" customHeight="1">
      <c r="A888" s="71" t="s">
        <v>4</v>
      </c>
      <c r="B888" s="336">
        <v>0.5</v>
      </c>
      <c r="C888" s="336">
        <v>0.5</v>
      </c>
      <c r="D888" s="24"/>
      <c r="E888" s="26"/>
      <c r="F888" s="26"/>
      <c r="G888" s="26"/>
      <c r="H888" s="30"/>
      <c r="I888" s="484"/>
      <c r="J888" s="2"/>
      <c r="N888" s="16"/>
      <c r="O888" s="16"/>
      <c r="P888" s="280"/>
      <c r="Q888" s="281"/>
      <c r="R888" s="282"/>
      <c r="S888" s="16"/>
    </row>
    <row r="889" spans="1:19" s="9" customFormat="1" ht="30" customHeight="1">
      <c r="A889" s="71" t="s">
        <v>62</v>
      </c>
      <c r="B889" s="75">
        <v>5</v>
      </c>
      <c r="C889" s="75">
        <v>5</v>
      </c>
      <c r="D889" s="21"/>
      <c r="E889" s="56"/>
      <c r="F889" s="56"/>
      <c r="G889" s="56"/>
      <c r="H889" s="54"/>
      <c r="I889" s="433"/>
      <c r="J889" s="2"/>
      <c r="N889" s="16"/>
      <c r="O889" s="16"/>
      <c r="P889" s="280"/>
      <c r="Q889" s="281"/>
      <c r="R889" s="282"/>
      <c r="S889" s="16"/>
    </row>
    <row r="890" spans="1:19" s="9" customFormat="1" ht="30" customHeight="1">
      <c r="A890" s="71" t="s">
        <v>78</v>
      </c>
      <c r="B890" s="335">
        <v>0.2</v>
      </c>
      <c r="C890" s="335">
        <v>0.2</v>
      </c>
      <c r="D890" s="213"/>
      <c r="E890" s="112"/>
      <c r="F890" s="112"/>
      <c r="G890" s="112"/>
      <c r="H890" s="146"/>
      <c r="I890" s="464"/>
      <c r="J890" s="2"/>
      <c r="N890" s="370"/>
      <c r="O890" s="370"/>
      <c r="P890" s="540"/>
      <c r="Q890" s="540"/>
      <c r="R890" s="289"/>
      <c r="S890" s="16"/>
    </row>
    <row r="891" spans="1:19" s="9" customFormat="1" ht="30" customHeight="1">
      <c r="A891" s="504" t="s">
        <v>487</v>
      </c>
      <c r="B891" s="504"/>
      <c r="C891" s="504"/>
      <c r="D891" s="24" t="s">
        <v>35</v>
      </c>
      <c r="E891" s="26">
        <v>11.3</v>
      </c>
      <c r="F891" s="26">
        <v>11.6</v>
      </c>
      <c r="G891" s="26">
        <v>12.4</v>
      </c>
      <c r="H891" s="30">
        <f>E891*4+F891*9+G891*4</f>
        <v>199.2</v>
      </c>
      <c r="I891" s="260" t="s">
        <v>468</v>
      </c>
      <c r="J891" s="2"/>
      <c r="N891" s="89"/>
      <c r="O891" s="89"/>
      <c r="P891" s="280"/>
      <c r="Q891" s="281"/>
      <c r="R891" s="290"/>
      <c r="S891" s="16"/>
    </row>
    <row r="892" spans="1:19" s="9" customFormat="1" ht="30" customHeight="1">
      <c r="A892" s="65" t="s">
        <v>469</v>
      </c>
      <c r="B892" s="61">
        <f>C892*1.054</f>
        <v>70.61800000000001</v>
      </c>
      <c r="C892" s="111">
        <v>67</v>
      </c>
      <c r="D892" s="221"/>
      <c r="E892" s="329"/>
      <c r="F892" s="329"/>
      <c r="G892" s="329"/>
      <c r="H892" s="485"/>
      <c r="I892" s="486"/>
      <c r="J892" s="19"/>
      <c r="K892" s="80"/>
      <c r="L892" s="80"/>
      <c r="N892" s="16"/>
      <c r="O892" s="16"/>
      <c r="P892" s="541"/>
      <c r="Q892" s="541"/>
      <c r="R892" s="291"/>
      <c r="S892" s="16"/>
    </row>
    <row r="893" spans="1:10" s="9" customFormat="1" ht="30" customHeight="1">
      <c r="A893" s="148" t="s">
        <v>470</v>
      </c>
      <c r="B893" s="61">
        <f>C893*1.47</f>
        <v>98.49</v>
      </c>
      <c r="C893" s="487">
        <v>67</v>
      </c>
      <c r="D893" s="457"/>
      <c r="E893" s="457"/>
      <c r="F893" s="440"/>
      <c r="G893" s="457"/>
      <c r="H893" s="488"/>
      <c r="I893" s="457"/>
      <c r="J893" s="2"/>
    </row>
    <row r="894" spans="1:10" s="9" customFormat="1" ht="30" customHeight="1">
      <c r="A894" s="113" t="s">
        <v>10</v>
      </c>
      <c r="B894" s="44">
        <v>19</v>
      </c>
      <c r="C894" s="44">
        <v>19</v>
      </c>
      <c r="D894" s="457"/>
      <c r="E894" s="49"/>
      <c r="F894" s="49"/>
      <c r="G894" s="49"/>
      <c r="H894" s="45"/>
      <c r="I894" s="458"/>
      <c r="J894" s="2"/>
    </row>
    <row r="895" spans="1:17" s="126" customFormat="1" ht="30" customHeight="1">
      <c r="A895" s="113" t="s">
        <v>18</v>
      </c>
      <c r="B895" s="168">
        <f>C895*1.19</f>
        <v>10.709999999999999</v>
      </c>
      <c r="C895" s="168">
        <v>9</v>
      </c>
      <c r="D895" s="457"/>
      <c r="E895" s="49"/>
      <c r="F895" s="49"/>
      <c r="G895" s="49"/>
      <c r="H895" s="45"/>
      <c r="I895" s="489"/>
      <c r="J895" s="9"/>
      <c r="K895" s="9"/>
      <c r="L895" s="9"/>
      <c r="N895" s="9"/>
      <c r="O895" s="9"/>
      <c r="P895" s="9"/>
      <c r="Q895" s="9"/>
    </row>
    <row r="896" spans="1:17" s="80" customFormat="1" ht="30" customHeight="1">
      <c r="A896" s="67" t="s">
        <v>56</v>
      </c>
      <c r="B896" s="44">
        <v>20</v>
      </c>
      <c r="C896" s="44">
        <v>20</v>
      </c>
      <c r="D896" s="457"/>
      <c r="E896" s="49"/>
      <c r="F896" s="49"/>
      <c r="G896" s="49"/>
      <c r="H896" s="45"/>
      <c r="I896" s="458"/>
      <c r="J896" s="9"/>
      <c r="K896" s="9"/>
      <c r="L896" s="9"/>
      <c r="N896" s="9"/>
      <c r="O896" s="9"/>
      <c r="P896" s="9"/>
      <c r="Q896" s="9"/>
    </row>
    <row r="897" spans="1:9" s="9" customFormat="1" ht="30" customHeight="1">
      <c r="A897" s="73" t="s">
        <v>41</v>
      </c>
      <c r="B897" s="243">
        <f>B896*460/1000</f>
        <v>9.2</v>
      </c>
      <c r="C897" s="243">
        <f>C896*460/1000</f>
        <v>9.2</v>
      </c>
      <c r="D897" s="194"/>
      <c r="E897" s="56"/>
      <c r="F897" s="56"/>
      <c r="G897" s="56"/>
      <c r="H897" s="55"/>
      <c r="I897" s="373"/>
    </row>
    <row r="898" spans="1:9" s="9" customFormat="1" ht="30" customHeight="1">
      <c r="A898" s="73" t="s">
        <v>42</v>
      </c>
      <c r="B898" s="243">
        <f>B896*120/1000</f>
        <v>2.4</v>
      </c>
      <c r="C898" s="243">
        <f>C896*120/1000</f>
        <v>2.4</v>
      </c>
      <c r="D898" s="194"/>
      <c r="E898" s="56"/>
      <c r="F898" s="56"/>
      <c r="G898" s="56"/>
      <c r="H898" s="55"/>
      <c r="I898" s="373"/>
    </row>
    <row r="899" spans="1:9" s="9" customFormat="1" ht="30" customHeight="1">
      <c r="A899" s="230" t="s">
        <v>156</v>
      </c>
      <c r="B899" s="231">
        <f>B896-B897</f>
        <v>10.8</v>
      </c>
      <c r="C899" s="231">
        <f>C896-C897</f>
        <v>10.8</v>
      </c>
      <c r="D899" s="232"/>
      <c r="E899" s="233"/>
      <c r="F899" s="233"/>
      <c r="G899" s="233"/>
      <c r="H899" s="234"/>
      <c r="I899" s="377"/>
    </row>
    <row r="900" spans="1:17" s="9" customFormat="1" ht="30" customHeight="1">
      <c r="A900" s="230" t="s">
        <v>157</v>
      </c>
      <c r="B900" s="231">
        <f>B896-B898</f>
        <v>17.6</v>
      </c>
      <c r="C900" s="231">
        <f>C896-C898</f>
        <v>17.6</v>
      </c>
      <c r="D900" s="232"/>
      <c r="E900" s="233"/>
      <c r="F900" s="233"/>
      <c r="G900" s="233"/>
      <c r="H900" s="234"/>
      <c r="I900" s="377"/>
      <c r="J900" s="80"/>
      <c r="N900" s="80"/>
      <c r="O900" s="80"/>
      <c r="P900" s="80"/>
      <c r="Q900" s="80"/>
    </row>
    <row r="901" spans="1:17" s="9" customFormat="1" ht="30" customHeight="1">
      <c r="A901" s="71" t="s">
        <v>431</v>
      </c>
      <c r="B901" s="44">
        <v>7</v>
      </c>
      <c r="C901" s="44">
        <v>7</v>
      </c>
      <c r="D901" s="457"/>
      <c r="E901" s="49"/>
      <c r="F901" s="49"/>
      <c r="G901" s="49"/>
      <c r="H901" s="45"/>
      <c r="I901" s="458"/>
      <c r="N901" s="80"/>
      <c r="O901" s="80"/>
      <c r="P901" s="80"/>
      <c r="Q901" s="80"/>
    </row>
    <row r="902" spans="1:9" s="9" customFormat="1" ht="30" customHeight="1">
      <c r="A902" s="113" t="s">
        <v>21</v>
      </c>
      <c r="B902" s="44">
        <v>6</v>
      </c>
      <c r="C902" s="44">
        <v>6</v>
      </c>
      <c r="D902" s="457"/>
      <c r="E902" s="49"/>
      <c r="F902" s="49"/>
      <c r="G902" s="49"/>
      <c r="H902" s="45"/>
      <c r="I902" s="458"/>
    </row>
    <row r="903" spans="1:9" s="9" customFormat="1" ht="30" customHeight="1">
      <c r="A903" s="67" t="s">
        <v>11</v>
      </c>
      <c r="B903" s="44">
        <v>2</v>
      </c>
      <c r="C903" s="44">
        <v>2</v>
      </c>
      <c r="D903" s="457"/>
      <c r="E903" s="49"/>
      <c r="F903" s="49"/>
      <c r="G903" s="49"/>
      <c r="H903" s="45"/>
      <c r="I903" s="458"/>
    </row>
    <row r="904" spans="1:17" s="9" customFormat="1" ht="30" customHeight="1">
      <c r="A904" s="113" t="s">
        <v>40</v>
      </c>
      <c r="B904" s="111">
        <v>5</v>
      </c>
      <c r="C904" s="111">
        <v>5</v>
      </c>
      <c r="D904" s="371"/>
      <c r="E904" s="128"/>
      <c r="F904" s="128"/>
      <c r="G904" s="128"/>
      <c r="H904" s="168"/>
      <c r="I904" s="373"/>
      <c r="N904" s="80"/>
      <c r="O904" s="80"/>
      <c r="P904" s="80"/>
      <c r="Q904" s="80"/>
    </row>
    <row r="905" spans="1:17" s="9" customFormat="1" ht="30" customHeight="1">
      <c r="A905" s="506" t="s">
        <v>76</v>
      </c>
      <c r="B905" s="506"/>
      <c r="C905" s="506"/>
      <c r="D905" s="506"/>
      <c r="E905" s="506"/>
      <c r="F905" s="506"/>
      <c r="G905" s="506"/>
      <c r="H905" s="506"/>
      <c r="I905" s="506"/>
      <c r="N905" s="80"/>
      <c r="O905" s="80"/>
      <c r="P905" s="80"/>
      <c r="Q905" s="80"/>
    </row>
    <row r="906" spans="1:10" s="9" customFormat="1" ht="30" customHeight="1">
      <c r="A906" s="509" t="s">
        <v>444</v>
      </c>
      <c r="B906" s="509"/>
      <c r="C906" s="509"/>
      <c r="D906" s="22" t="s">
        <v>35</v>
      </c>
      <c r="E906" s="56">
        <v>14.8</v>
      </c>
      <c r="F906" s="56">
        <v>13.9</v>
      </c>
      <c r="G906" s="56">
        <v>12</v>
      </c>
      <c r="H906" s="55">
        <f>G906*4+F906*9+E906*4</f>
        <v>232.3</v>
      </c>
      <c r="I906" s="260" t="s">
        <v>246</v>
      </c>
      <c r="J906" s="80"/>
    </row>
    <row r="907" spans="1:10" s="9" customFormat="1" ht="30" customHeight="1">
      <c r="A907" s="65" t="s">
        <v>90</v>
      </c>
      <c r="B907" s="33">
        <f>C907*1.36</f>
        <v>100.64</v>
      </c>
      <c r="C907" s="5">
        <v>74</v>
      </c>
      <c r="D907" s="44"/>
      <c r="E907" s="128"/>
      <c r="F907" s="128"/>
      <c r="G907" s="128"/>
      <c r="H907" s="128"/>
      <c r="I907" s="373"/>
      <c r="J907" s="80"/>
    </row>
    <row r="908" spans="1:10" s="9" customFormat="1" ht="30" customHeight="1">
      <c r="A908" s="65" t="s">
        <v>91</v>
      </c>
      <c r="B908" s="33">
        <f>C908*1.18</f>
        <v>87.32</v>
      </c>
      <c r="C908" s="5">
        <f>C907</f>
        <v>74</v>
      </c>
      <c r="D908" s="213"/>
      <c r="E908" s="38"/>
      <c r="F908" s="38"/>
      <c r="G908" s="38"/>
      <c r="H908" s="144"/>
      <c r="I908" s="379"/>
      <c r="J908" s="80"/>
    </row>
    <row r="909" spans="1:9" s="9" customFormat="1" ht="30" customHeight="1">
      <c r="A909" s="64" t="s">
        <v>10</v>
      </c>
      <c r="B909" s="5">
        <v>18</v>
      </c>
      <c r="C909" s="5">
        <v>18</v>
      </c>
      <c r="D909" s="142"/>
      <c r="E909" s="331"/>
      <c r="F909" s="56"/>
      <c r="G909" s="56"/>
      <c r="H909" s="55"/>
      <c r="I909" s="374"/>
    </row>
    <row r="910" spans="1:9" s="9" customFormat="1" ht="30" customHeight="1">
      <c r="A910" s="113" t="s">
        <v>249</v>
      </c>
      <c r="B910" s="111">
        <v>12</v>
      </c>
      <c r="C910" s="111">
        <v>12</v>
      </c>
      <c r="D910" s="371"/>
      <c r="E910" s="331"/>
      <c r="F910" s="128"/>
      <c r="G910" s="128"/>
      <c r="H910" s="168"/>
      <c r="I910" s="373"/>
    </row>
    <row r="911" spans="1:10" s="9" customFormat="1" ht="30" customHeight="1">
      <c r="A911" s="73" t="s">
        <v>41</v>
      </c>
      <c r="B911" s="243">
        <f>B910*460/1000</f>
        <v>5.52</v>
      </c>
      <c r="C911" s="243">
        <f>C910*460/1000</f>
        <v>5.52</v>
      </c>
      <c r="D911" s="194"/>
      <c r="E911" s="56"/>
      <c r="F911" s="56"/>
      <c r="G911" s="56"/>
      <c r="H911" s="55"/>
      <c r="I911" s="373"/>
      <c r="J911" s="80"/>
    </row>
    <row r="912" spans="1:10" s="9" customFormat="1" ht="30" customHeight="1">
      <c r="A912" s="73" t="s">
        <v>42</v>
      </c>
      <c r="B912" s="243">
        <f>B910*120/1000</f>
        <v>1.44</v>
      </c>
      <c r="C912" s="243">
        <f>C910*120/1000</f>
        <v>1.44</v>
      </c>
      <c r="D912" s="194"/>
      <c r="E912" s="56"/>
      <c r="F912" s="56"/>
      <c r="G912" s="56"/>
      <c r="H912" s="55"/>
      <c r="I912" s="373"/>
      <c r="J912" s="80"/>
    </row>
    <row r="913" spans="1:9" s="9" customFormat="1" ht="30" customHeight="1">
      <c r="A913" s="230" t="s">
        <v>156</v>
      </c>
      <c r="B913" s="231">
        <f>B910-B911</f>
        <v>6.48</v>
      </c>
      <c r="C913" s="231">
        <f>C910-C911</f>
        <v>6.48</v>
      </c>
      <c r="D913" s="232"/>
      <c r="E913" s="233"/>
      <c r="F913" s="233"/>
      <c r="G913" s="233"/>
      <c r="H913" s="234"/>
      <c r="I913" s="377"/>
    </row>
    <row r="914" spans="1:9" s="9" customFormat="1" ht="30" customHeight="1">
      <c r="A914" s="230" t="s">
        <v>157</v>
      </c>
      <c r="B914" s="231">
        <f>B910-B912</f>
        <v>10.56</v>
      </c>
      <c r="C914" s="231">
        <f>C910-C912</f>
        <v>10.56</v>
      </c>
      <c r="D914" s="232"/>
      <c r="E914" s="233"/>
      <c r="F914" s="233"/>
      <c r="G914" s="233"/>
      <c r="H914" s="234"/>
      <c r="I914" s="377"/>
    </row>
    <row r="915" spans="1:9" s="9" customFormat="1" ht="30" customHeight="1">
      <c r="A915" s="67" t="s">
        <v>18</v>
      </c>
      <c r="B915" s="45">
        <f>C915*1.19</f>
        <v>9.52</v>
      </c>
      <c r="C915" s="44">
        <v>8</v>
      </c>
      <c r="D915" s="142"/>
      <c r="E915" s="331"/>
      <c r="F915" s="128"/>
      <c r="G915" s="128"/>
      <c r="H915" s="168"/>
      <c r="I915" s="373"/>
    </row>
    <row r="916" spans="1:17" s="80" customFormat="1" ht="30" customHeight="1">
      <c r="A916" s="72" t="s">
        <v>88</v>
      </c>
      <c r="B916" s="205">
        <v>4</v>
      </c>
      <c r="C916" s="205">
        <v>4</v>
      </c>
      <c r="D916" s="221"/>
      <c r="E916" s="49"/>
      <c r="F916" s="49"/>
      <c r="G916" s="49"/>
      <c r="H916" s="45"/>
      <c r="I916" s="391"/>
      <c r="J916" s="9"/>
      <c r="M916" s="9"/>
      <c r="N916" s="9"/>
      <c r="O916" s="9"/>
      <c r="P916" s="9"/>
      <c r="Q916" s="9"/>
    </row>
    <row r="917" spans="1:10" s="9" customFormat="1" ht="30" customHeight="1">
      <c r="A917" s="72" t="s">
        <v>171</v>
      </c>
      <c r="B917" s="205">
        <v>10</v>
      </c>
      <c r="C917" s="205">
        <v>10</v>
      </c>
      <c r="D917" s="221"/>
      <c r="E917" s="49"/>
      <c r="F917" s="49"/>
      <c r="G917" s="49"/>
      <c r="H917" s="45"/>
      <c r="I917" s="391"/>
      <c r="J917" s="80"/>
    </row>
    <row r="918" spans="1:17" s="9" customFormat="1" ht="30" customHeight="1">
      <c r="A918" s="67" t="s">
        <v>11</v>
      </c>
      <c r="B918" s="5">
        <v>2</v>
      </c>
      <c r="C918" s="5">
        <v>2</v>
      </c>
      <c r="D918" s="142"/>
      <c r="E918" s="331"/>
      <c r="F918" s="128"/>
      <c r="G918" s="128"/>
      <c r="H918" s="168"/>
      <c r="I918" s="373"/>
      <c r="J918" s="80"/>
      <c r="N918" s="80"/>
      <c r="O918" s="80"/>
      <c r="P918" s="80"/>
      <c r="Q918" s="80"/>
    </row>
    <row r="919" spans="1:9" s="9" customFormat="1" ht="30" customHeight="1">
      <c r="A919" s="113" t="s">
        <v>40</v>
      </c>
      <c r="B919" s="111">
        <v>5</v>
      </c>
      <c r="C919" s="111">
        <v>5</v>
      </c>
      <c r="D919" s="371"/>
      <c r="E919" s="128"/>
      <c r="F919" s="128"/>
      <c r="G919" s="128"/>
      <c r="H919" s="168"/>
      <c r="I919" s="373"/>
    </row>
    <row r="920" spans="1:9" s="9" customFormat="1" ht="30" customHeight="1">
      <c r="A920" s="501" t="s">
        <v>278</v>
      </c>
      <c r="B920" s="501"/>
      <c r="C920" s="501"/>
      <c r="D920" s="54">
        <v>180</v>
      </c>
      <c r="E920" s="56">
        <v>3.7</v>
      </c>
      <c r="F920" s="56">
        <v>4.7</v>
      </c>
      <c r="G920" s="56">
        <v>14.9</v>
      </c>
      <c r="H920" s="55">
        <f>E920*4+F920*9+G920*4</f>
        <v>116.70000000000002</v>
      </c>
      <c r="I920" s="262" t="s">
        <v>280</v>
      </c>
    </row>
    <row r="921" spans="1:9" s="9" customFormat="1" ht="30" customHeight="1">
      <c r="A921" s="113" t="s">
        <v>61</v>
      </c>
      <c r="B921" s="168">
        <f>C921*1.25</f>
        <v>258</v>
      </c>
      <c r="C921" s="168">
        <v>206.4</v>
      </c>
      <c r="D921" s="111"/>
      <c r="E921" s="128"/>
      <c r="F921" s="128"/>
      <c r="G921" s="128"/>
      <c r="H921" s="128"/>
      <c r="I921" s="262"/>
    </row>
    <row r="922" spans="1:9" s="9" customFormat="1" ht="30" customHeight="1">
      <c r="A922" s="113" t="s">
        <v>11</v>
      </c>
      <c r="B922" s="168">
        <v>5</v>
      </c>
      <c r="C922" s="168">
        <v>5</v>
      </c>
      <c r="D922" s="111"/>
      <c r="E922" s="128"/>
      <c r="F922" s="128"/>
      <c r="G922" s="128"/>
      <c r="H922" s="128"/>
      <c r="I922" s="259"/>
    </row>
    <row r="923" spans="1:9" s="9" customFormat="1" ht="30" customHeight="1">
      <c r="A923" s="113" t="s">
        <v>67</v>
      </c>
      <c r="B923" s="128">
        <f>C923*1.25</f>
        <v>12.5</v>
      </c>
      <c r="C923" s="111">
        <v>10</v>
      </c>
      <c r="D923" s="111"/>
      <c r="E923" s="128"/>
      <c r="F923" s="128"/>
      <c r="G923" s="128"/>
      <c r="H923" s="128"/>
      <c r="I923" s="396"/>
    </row>
    <row r="924" spans="1:17" s="80" customFormat="1" ht="30" customHeight="1">
      <c r="A924" s="119" t="s">
        <v>16</v>
      </c>
      <c r="B924" s="128">
        <f>C924*1.33</f>
        <v>13.3</v>
      </c>
      <c r="C924" s="111">
        <v>10</v>
      </c>
      <c r="D924" s="111"/>
      <c r="E924" s="128"/>
      <c r="F924" s="56"/>
      <c r="G924" s="56"/>
      <c r="H924" s="56"/>
      <c r="I924" s="437"/>
      <c r="J924" s="9"/>
      <c r="M924" s="9"/>
      <c r="N924" s="9"/>
      <c r="O924" s="9"/>
      <c r="P924" s="9"/>
      <c r="Q924" s="9"/>
    </row>
    <row r="925" spans="1:9" s="9" customFormat="1" ht="30" customHeight="1">
      <c r="A925" s="113" t="s">
        <v>18</v>
      </c>
      <c r="B925" s="168">
        <f>C925*1.19</f>
        <v>9.52</v>
      </c>
      <c r="C925" s="111">
        <v>8</v>
      </c>
      <c r="D925" s="111"/>
      <c r="E925" s="128"/>
      <c r="F925" s="56"/>
      <c r="G925" s="56"/>
      <c r="H925" s="56"/>
      <c r="I925" s="385"/>
    </row>
    <row r="926" spans="1:17" s="9" customFormat="1" ht="30" customHeight="1">
      <c r="A926" s="178" t="s">
        <v>58</v>
      </c>
      <c r="B926" s="164">
        <v>4</v>
      </c>
      <c r="C926" s="164">
        <v>4</v>
      </c>
      <c r="D926" s="111"/>
      <c r="E926" s="133"/>
      <c r="F926" s="133"/>
      <c r="G926" s="133"/>
      <c r="H926" s="165"/>
      <c r="I926" s="382"/>
      <c r="N926" s="155"/>
      <c r="O926" s="155"/>
      <c r="P926" s="155"/>
      <c r="Q926" s="155"/>
    </row>
    <row r="927" spans="1:17" s="80" customFormat="1" ht="30" customHeight="1">
      <c r="A927" s="113" t="s">
        <v>21</v>
      </c>
      <c r="B927" s="168">
        <v>3</v>
      </c>
      <c r="C927" s="168">
        <v>3</v>
      </c>
      <c r="D927" s="111"/>
      <c r="E927" s="128"/>
      <c r="F927" s="56"/>
      <c r="G927" s="56"/>
      <c r="H927" s="55"/>
      <c r="I927" s="374"/>
      <c r="J927" s="9"/>
      <c r="M927" s="9"/>
      <c r="N927" s="9"/>
      <c r="O927" s="9"/>
      <c r="P927" s="9"/>
      <c r="Q927" s="9"/>
    </row>
    <row r="928" spans="1:17" s="80" customFormat="1" ht="30" customHeight="1">
      <c r="A928" s="113" t="s">
        <v>4</v>
      </c>
      <c r="B928" s="111">
        <v>3</v>
      </c>
      <c r="C928" s="111">
        <v>3</v>
      </c>
      <c r="D928" s="111"/>
      <c r="E928" s="133"/>
      <c r="F928" s="110"/>
      <c r="G928" s="110"/>
      <c r="H928" s="103"/>
      <c r="I928" s="397"/>
      <c r="M928" s="9"/>
      <c r="N928" s="9"/>
      <c r="O928" s="9"/>
      <c r="P928" s="9"/>
      <c r="Q928" s="9"/>
    </row>
    <row r="929" spans="1:17" s="80" customFormat="1" ht="30" customHeight="1">
      <c r="A929" s="511" t="s">
        <v>281</v>
      </c>
      <c r="B929" s="511"/>
      <c r="C929" s="511"/>
      <c r="D929" s="31">
        <v>200</v>
      </c>
      <c r="E929" s="32">
        <v>1</v>
      </c>
      <c r="F929" s="32">
        <v>0</v>
      </c>
      <c r="G929" s="32">
        <v>25.2</v>
      </c>
      <c r="H929" s="55">
        <f>G929*4+F929*9+E929*4</f>
        <v>104.8</v>
      </c>
      <c r="I929" s="260" t="s">
        <v>248</v>
      </c>
      <c r="J929" s="9"/>
      <c r="M929" s="9"/>
      <c r="N929" s="9"/>
      <c r="O929" s="9"/>
      <c r="P929" s="9"/>
      <c r="Q929" s="9"/>
    </row>
    <row r="930" spans="1:17" s="80" customFormat="1" ht="30" customHeight="1">
      <c r="A930" s="67" t="s">
        <v>79</v>
      </c>
      <c r="B930" s="44">
        <v>25</v>
      </c>
      <c r="C930" s="44">
        <v>25</v>
      </c>
      <c r="D930" s="44"/>
      <c r="E930" s="49"/>
      <c r="F930" s="49"/>
      <c r="G930" s="49"/>
      <c r="H930" s="49"/>
      <c r="I930" s="391"/>
      <c r="M930" s="9"/>
      <c r="N930" s="9"/>
      <c r="O930" s="9"/>
      <c r="P930" s="9"/>
      <c r="Q930" s="9"/>
    </row>
    <row r="931" spans="1:17" s="80" customFormat="1" ht="30" customHeight="1">
      <c r="A931" s="67" t="s">
        <v>4</v>
      </c>
      <c r="B931" s="44">
        <v>10</v>
      </c>
      <c r="C931" s="44">
        <v>10</v>
      </c>
      <c r="D931" s="44"/>
      <c r="E931" s="49"/>
      <c r="F931" s="49"/>
      <c r="G931" s="49"/>
      <c r="H931" s="49"/>
      <c r="I931" s="398"/>
      <c r="J931" s="9"/>
      <c r="O931" s="9"/>
      <c r="P931" s="9"/>
      <c r="Q931" s="9"/>
    </row>
    <row r="932" spans="1:10" s="80" customFormat="1" ht="30" customHeight="1">
      <c r="A932" s="435" t="s">
        <v>20</v>
      </c>
      <c r="B932" s="164">
        <v>60</v>
      </c>
      <c r="C932" s="164">
        <v>60</v>
      </c>
      <c r="D932" s="103">
        <v>60</v>
      </c>
      <c r="E932" s="110">
        <v>2.8</v>
      </c>
      <c r="F932" s="110">
        <v>0.6</v>
      </c>
      <c r="G932" s="110">
        <v>26.2</v>
      </c>
      <c r="H932" s="141">
        <v>122</v>
      </c>
      <c r="I932" s="374"/>
      <c r="J932" s="16"/>
    </row>
    <row r="933" spans="1:10" s="9" customFormat="1" ht="30" customHeight="1">
      <c r="A933" s="503" t="s">
        <v>80</v>
      </c>
      <c r="B933" s="503"/>
      <c r="C933" s="503"/>
      <c r="D933" s="103">
        <v>60</v>
      </c>
      <c r="E933" s="128"/>
      <c r="F933" s="128"/>
      <c r="G933" s="128"/>
      <c r="H933" s="128"/>
      <c r="I933" s="373"/>
      <c r="J933" s="16"/>
    </row>
    <row r="934" spans="1:15" s="9" customFormat="1" ht="30" customHeight="1">
      <c r="A934" s="434" t="s">
        <v>27</v>
      </c>
      <c r="B934" s="111">
        <v>50</v>
      </c>
      <c r="C934" s="111">
        <v>50</v>
      </c>
      <c r="D934" s="54">
        <v>50</v>
      </c>
      <c r="E934" s="56">
        <v>1.8</v>
      </c>
      <c r="F934" s="56">
        <v>0.3</v>
      </c>
      <c r="G934" s="56">
        <v>23.5</v>
      </c>
      <c r="H934" s="55">
        <v>101.30000000000001</v>
      </c>
      <c r="I934" s="374"/>
      <c r="J934" s="154"/>
      <c r="O934" s="80"/>
    </row>
    <row r="935" spans="1:15" s="9" customFormat="1" ht="30" customHeight="1">
      <c r="A935" s="544" t="s">
        <v>24</v>
      </c>
      <c r="B935" s="544"/>
      <c r="C935" s="544"/>
      <c r="D935" s="544"/>
      <c r="E935" s="137">
        <f>+E854+E826</f>
        <v>52.400000000000006</v>
      </c>
      <c r="F935" s="137">
        <f>+F854+F826</f>
        <v>50.1</v>
      </c>
      <c r="G935" s="137">
        <f>+G854+G826</f>
        <v>215</v>
      </c>
      <c r="H935" s="137">
        <f>+H854+H826</f>
        <v>1518.1999999999998</v>
      </c>
      <c r="I935" s="393"/>
      <c r="J935" s="16"/>
      <c r="O935" s="80"/>
    </row>
    <row r="936" spans="1:17" s="9" customFormat="1" ht="30" customHeight="1">
      <c r="A936" s="510" t="s">
        <v>52</v>
      </c>
      <c r="B936" s="510"/>
      <c r="C936" s="510"/>
      <c r="D936" s="510"/>
      <c r="E936" s="510"/>
      <c r="F936" s="510"/>
      <c r="G936" s="510"/>
      <c r="H936" s="510"/>
      <c r="I936" s="510"/>
      <c r="J936" s="16"/>
      <c r="O936" s="82"/>
      <c r="P936" s="80"/>
      <c r="Q936" s="80"/>
    </row>
    <row r="937" spans="1:10" s="80" customFormat="1" ht="30" customHeight="1">
      <c r="A937" s="513" t="s">
        <v>0</v>
      </c>
      <c r="B937" s="512" t="s">
        <v>6</v>
      </c>
      <c r="C937" s="512" t="s">
        <v>7</v>
      </c>
      <c r="D937" s="513" t="s">
        <v>5</v>
      </c>
      <c r="E937" s="513"/>
      <c r="F937" s="513"/>
      <c r="G937" s="513"/>
      <c r="H937" s="513"/>
      <c r="I937" s="513"/>
      <c r="J937" s="9"/>
    </row>
    <row r="938" spans="1:23" s="80" customFormat="1" ht="30" customHeight="1">
      <c r="A938" s="513"/>
      <c r="B938" s="512"/>
      <c r="C938" s="512"/>
      <c r="D938" s="419" t="s">
        <v>8</v>
      </c>
      <c r="E938" s="418" t="s">
        <v>1</v>
      </c>
      <c r="F938" s="418" t="s">
        <v>2</v>
      </c>
      <c r="G938" s="418" t="s">
        <v>9</v>
      </c>
      <c r="H938" s="417" t="s">
        <v>3</v>
      </c>
      <c r="I938" s="420" t="s">
        <v>211</v>
      </c>
      <c r="O938" s="9"/>
      <c r="P938" s="535"/>
      <c r="Q938" s="535"/>
      <c r="R938" s="534"/>
      <c r="S938" s="534"/>
      <c r="T938" s="534"/>
      <c r="U938" s="534"/>
      <c r="V938" s="534"/>
      <c r="W938" s="534"/>
    </row>
    <row r="939" spans="1:23" s="80" customFormat="1" ht="30" customHeight="1">
      <c r="A939" s="516" t="s">
        <v>112</v>
      </c>
      <c r="B939" s="516"/>
      <c r="C939" s="516"/>
      <c r="D939" s="167">
        <f>40+D943+207+D955</f>
        <v>572</v>
      </c>
      <c r="E939" s="122">
        <f>E940+E943+E951+E955</f>
        <v>16.6</v>
      </c>
      <c r="F939" s="122">
        <f>F940+F943+F951+F955</f>
        <v>28.300000000000004</v>
      </c>
      <c r="G939" s="122">
        <f>G940+G943+G951+G955</f>
        <v>68.30000000000001</v>
      </c>
      <c r="H939" s="122">
        <f>H940+H943+H951+H955</f>
        <v>594.3000000000001</v>
      </c>
      <c r="I939" s="381"/>
      <c r="O939" s="9"/>
      <c r="P939" s="546"/>
      <c r="Q939" s="546"/>
      <c r="R939" s="547"/>
      <c r="S939" s="547"/>
      <c r="T939" s="547"/>
      <c r="U939" s="547"/>
      <c r="V939" s="547"/>
      <c r="W939" s="547"/>
    </row>
    <row r="940" spans="1:23" s="80" customFormat="1" ht="30" customHeight="1">
      <c r="A940" s="503" t="s">
        <v>254</v>
      </c>
      <c r="B940" s="503"/>
      <c r="C940" s="503"/>
      <c r="D940" s="195" t="s">
        <v>168</v>
      </c>
      <c r="E940" s="56">
        <v>1.6</v>
      </c>
      <c r="F940" s="56">
        <v>7.4</v>
      </c>
      <c r="G940" s="56">
        <v>13.2</v>
      </c>
      <c r="H940" s="55">
        <f>G940*4+F940*9+E940*4</f>
        <v>125.80000000000001</v>
      </c>
      <c r="I940" s="374" t="s">
        <v>255</v>
      </c>
      <c r="O940" s="9"/>
      <c r="P940" s="292"/>
      <c r="Q940" s="292"/>
      <c r="R940" s="293"/>
      <c r="S940" s="293"/>
      <c r="T940" s="293"/>
      <c r="U940" s="293"/>
      <c r="V940" s="293"/>
      <c r="W940" s="293"/>
    </row>
    <row r="941" spans="1:23" s="9" customFormat="1" ht="30" customHeight="1">
      <c r="A941" s="67" t="s">
        <v>138</v>
      </c>
      <c r="B941" s="44">
        <v>30</v>
      </c>
      <c r="C941" s="44">
        <v>30</v>
      </c>
      <c r="D941" s="44"/>
      <c r="E941" s="128"/>
      <c r="F941" s="128"/>
      <c r="G941" s="196"/>
      <c r="H941" s="197"/>
      <c r="I941" s="373"/>
      <c r="J941" s="80"/>
      <c r="P941" s="536"/>
      <c r="Q941" s="536"/>
      <c r="R941" s="537"/>
      <c r="S941" s="537"/>
      <c r="T941" s="537"/>
      <c r="U941" s="537"/>
      <c r="V941" s="537"/>
      <c r="W941" s="294"/>
    </row>
    <row r="942" spans="1:23" s="80" customFormat="1" ht="30" customHeight="1">
      <c r="A942" s="67" t="s">
        <v>19</v>
      </c>
      <c r="B942" s="44">
        <v>10</v>
      </c>
      <c r="C942" s="44">
        <v>10</v>
      </c>
      <c r="D942" s="44"/>
      <c r="E942" s="128"/>
      <c r="F942" s="128"/>
      <c r="G942" s="128"/>
      <c r="H942" s="168"/>
      <c r="I942" s="373"/>
      <c r="O942" s="9"/>
      <c r="P942" s="295"/>
      <c r="Q942" s="295"/>
      <c r="R942" s="537"/>
      <c r="S942" s="538"/>
      <c r="T942" s="538"/>
      <c r="U942" s="538"/>
      <c r="V942" s="538"/>
      <c r="W942" s="294"/>
    </row>
    <row r="943" spans="1:23" s="80" customFormat="1" ht="30" customHeight="1">
      <c r="A943" s="503" t="s">
        <v>459</v>
      </c>
      <c r="B943" s="503"/>
      <c r="C943" s="503"/>
      <c r="D943" s="24">
        <v>200</v>
      </c>
      <c r="E943" s="26">
        <v>12.2</v>
      </c>
      <c r="F943" s="26">
        <v>17.8</v>
      </c>
      <c r="G943" s="26">
        <v>35.5</v>
      </c>
      <c r="H943" s="55">
        <f>G943*4+F943*9+E943*4</f>
        <v>351.00000000000006</v>
      </c>
      <c r="I943" s="374" t="s">
        <v>460</v>
      </c>
      <c r="J943" s="9"/>
      <c r="O943" s="9"/>
      <c r="P943" s="296"/>
      <c r="Q943" s="297"/>
      <c r="R943" s="537"/>
      <c r="S943" s="298"/>
      <c r="T943" s="298"/>
      <c r="U943" s="298"/>
      <c r="V943" s="298"/>
      <c r="W943" s="298"/>
    </row>
    <row r="944" spans="1:23" s="9" customFormat="1" ht="30" customHeight="1">
      <c r="A944" s="113" t="s">
        <v>25</v>
      </c>
      <c r="B944" s="168">
        <v>163</v>
      </c>
      <c r="C944" s="168">
        <v>160</v>
      </c>
      <c r="D944" s="179"/>
      <c r="E944" s="26"/>
      <c r="F944" s="26"/>
      <c r="G944" s="26"/>
      <c r="H944" s="26"/>
      <c r="I944" s="322"/>
      <c r="P944" s="299"/>
      <c r="Q944" s="300"/>
      <c r="R944" s="280"/>
      <c r="S944" s="299"/>
      <c r="T944" s="299"/>
      <c r="U944" s="299"/>
      <c r="V944" s="299"/>
      <c r="W944" s="301"/>
    </row>
    <row r="945" spans="1:23" s="9" customFormat="1" ht="30" customHeight="1">
      <c r="A945" s="113" t="s">
        <v>62</v>
      </c>
      <c r="B945" s="168">
        <v>10</v>
      </c>
      <c r="C945" s="168">
        <v>10</v>
      </c>
      <c r="D945" s="179"/>
      <c r="E945" s="26"/>
      <c r="F945" s="26"/>
      <c r="G945" s="26"/>
      <c r="H945" s="111"/>
      <c r="I945" s="322"/>
      <c r="J945" s="80"/>
      <c r="P945" s="299"/>
      <c r="Q945" s="300"/>
      <c r="R945" s="529"/>
      <c r="S945" s="529"/>
      <c r="T945" s="304"/>
      <c r="U945" s="299"/>
      <c r="V945" s="304"/>
      <c r="W945" s="301"/>
    </row>
    <row r="946" spans="1:23" s="9" customFormat="1" ht="30" customHeight="1">
      <c r="A946" s="72" t="s">
        <v>88</v>
      </c>
      <c r="B946" s="45">
        <v>10</v>
      </c>
      <c r="C946" s="45">
        <v>10</v>
      </c>
      <c r="D946" s="179"/>
      <c r="E946" s="111"/>
      <c r="F946" s="168"/>
      <c r="G946" s="111"/>
      <c r="H946" s="45"/>
      <c r="I946" s="391"/>
      <c r="P946" s="302"/>
      <c r="Q946" s="302"/>
      <c r="R946" s="280"/>
      <c r="S946" s="281"/>
      <c r="T946" s="282"/>
      <c r="U946" s="281"/>
      <c r="V946" s="282"/>
      <c r="W946" s="288"/>
    </row>
    <row r="947" spans="1:23" s="9" customFormat="1" ht="30" customHeight="1">
      <c r="A947" s="67" t="s">
        <v>4</v>
      </c>
      <c r="B947" s="168">
        <v>5</v>
      </c>
      <c r="C947" s="168">
        <v>5</v>
      </c>
      <c r="D947" s="179"/>
      <c r="E947" s="111"/>
      <c r="F947" s="128"/>
      <c r="G947" s="128"/>
      <c r="H947" s="168"/>
      <c r="I947" s="373"/>
      <c r="P947" s="302"/>
      <c r="Q947" s="302"/>
      <c r="R947" s="305"/>
      <c r="S947" s="287"/>
      <c r="T947" s="288"/>
      <c r="U947" s="287"/>
      <c r="V947" s="288"/>
      <c r="W947" s="288"/>
    </row>
    <row r="948" spans="1:23" s="9" customFormat="1" ht="30" customHeight="1">
      <c r="A948" s="67" t="s">
        <v>21</v>
      </c>
      <c r="B948" s="168">
        <v>12</v>
      </c>
      <c r="C948" s="168">
        <v>12</v>
      </c>
      <c r="D948" s="179"/>
      <c r="E948" s="111"/>
      <c r="F948" s="26"/>
      <c r="G948" s="26"/>
      <c r="H948" s="55"/>
      <c r="I948" s="260"/>
      <c r="P948" s="302"/>
      <c r="Q948" s="302"/>
      <c r="R948" s="529"/>
      <c r="S948" s="529"/>
      <c r="T948" s="304"/>
      <c r="U948" s="282"/>
      <c r="V948" s="304"/>
      <c r="W948" s="288"/>
    </row>
    <row r="949" spans="1:23" s="9" customFormat="1" ht="30" customHeight="1">
      <c r="A949" s="71" t="s">
        <v>461</v>
      </c>
      <c r="B949" s="205">
        <v>31</v>
      </c>
      <c r="C949" s="205">
        <v>30</v>
      </c>
      <c r="D949" s="179"/>
      <c r="E949" s="49"/>
      <c r="F949" s="49"/>
      <c r="G949" s="49"/>
      <c r="H949" s="205"/>
      <c r="I949" s="490"/>
      <c r="P949" s="302"/>
      <c r="Q949" s="302"/>
      <c r="R949" s="306"/>
      <c r="S949" s="282"/>
      <c r="T949" s="282"/>
      <c r="U949" s="282"/>
      <c r="V949" s="282"/>
      <c r="W949" s="288"/>
    </row>
    <row r="950" spans="1:23" s="9" customFormat="1" ht="30" customHeight="1">
      <c r="A950" s="113" t="s">
        <v>462</v>
      </c>
      <c r="B950" s="168">
        <v>3</v>
      </c>
      <c r="C950" s="168">
        <v>3</v>
      </c>
      <c r="D950" s="179"/>
      <c r="E950" s="111"/>
      <c r="F950" s="128"/>
      <c r="G950" s="128"/>
      <c r="H950" s="168"/>
      <c r="I950" s="373"/>
      <c r="P950" s="302"/>
      <c r="Q950" s="302"/>
      <c r="R950" s="307"/>
      <c r="S950" s="282"/>
      <c r="T950" s="282"/>
      <c r="U950" s="288"/>
      <c r="V950" s="288"/>
      <c r="W950" s="288"/>
    </row>
    <row r="951" spans="1:23" s="80" customFormat="1" ht="30" customHeight="1">
      <c r="A951" s="509" t="s">
        <v>256</v>
      </c>
      <c r="B951" s="509"/>
      <c r="C951" s="509"/>
      <c r="D951" s="22" t="s">
        <v>144</v>
      </c>
      <c r="E951" s="29">
        <v>0.3</v>
      </c>
      <c r="F951" s="29">
        <v>0</v>
      </c>
      <c r="G951" s="29">
        <v>15.2</v>
      </c>
      <c r="H951" s="30">
        <f>G951*4+F951*9+E951*4</f>
        <v>62</v>
      </c>
      <c r="I951" s="394" t="s">
        <v>257</v>
      </c>
      <c r="J951" s="9"/>
      <c r="O951" s="9"/>
      <c r="P951" s="302"/>
      <c r="Q951" s="302"/>
      <c r="R951" s="308"/>
      <c r="S951" s="282"/>
      <c r="T951" s="282"/>
      <c r="U951" s="288"/>
      <c r="V951" s="288"/>
      <c r="W951" s="288"/>
    </row>
    <row r="952" spans="1:23" s="80" customFormat="1" ht="30" customHeight="1">
      <c r="A952" s="72" t="s">
        <v>26</v>
      </c>
      <c r="B952" s="44">
        <v>2</v>
      </c>
      <c r="C952" s="44">
        <v>2</v>
      </c>
      <c r="D952" s="44"/>
      <c r="E952" s="49"/>
      <c r="F952" s="49"/>
      <c r="G952" s="26"/>
      <c r="H952" s="30"/>
      <c r="I952" s="394"/>
      <c r="J952" s="9"/>
      <c r="K952" s="9"/>
      <c r="L952" s="9"/>
      <c r="O952" s="9"/>
      <c r="P952" s="302"/>
      <c r="Q952" s="302"/>
      <c r="R952" s="530"/>
      <c r="S952" s="530"/>
      <c r="T952" s="282"/>
      <c r="U952" s="282"/>
      <c r="V952" s="282"/>
      <c r="W952" s="288"/>
    </row>
    <row r="953" spans="1:23" s="9" customFormat="1" ht="30" customHeight="1">
      <c r="A953" s="67" t="s">
        <v>4</v>
      </c>
      <c r="B953" s="35">
        <v>15</v>
      </c>
      <c r="C953" s="35">
        <v>15</v>
      </c>
      <c r="D953" s="35"/>
      <c r="E953" s="128"/>
      <c r="F953" s="128"/>
      <c r="G953" s="128"/>
      <c r="H953" s="168"/>
      <c r="I953" s="373"/>
      <c r="J953" s="80"/>
      <c r="K953" s="80"/>
      <c r="L953" s="80"/>
      <c r="O953" s="126"/>
      <c r="P953" s="302"/>
      <c r="Q953" s="302"/>
      <c r="R953" s="539"/>
      <c r="S953" s="525"/>
      <c r="T953" s="309"/>
      <c r="U953" s="303"/>
      <c r="V953" s="309"/>
      <c r="W953" s="303"/>
    </row>
    <row r="954" spans="1:23" s="9" customFormat="1" ht="30" customHeight="1">
      <c r="A954" s="67" t="s">
        <v>143</v>
      </c>
      <c r="B954" s="44">
        <v>8</v>
      </c>
      <c r="C954" s="44">
        <v>7</v>
      </c>
      <c r="D954" s="44"/>
      <c r="E954" s="49"/>
      <c r="F954" s="49"/>
      <c r="G954" s="49"/>
      <c r="H954" s="49"/>
      <c r="I954" s="394"/>
      <c r="J954" s="80"/>
      <c r="K954" s="80"/>
      <c r="L954" s="80"/>
      <c r="P954" s="545"/>
      <c r="Q954" s="545"/>
      <c r="R954" s="545"/>
      <c r="S954" s="545"/>
      <c r="T954" s="545"/>
      <c r="U954" s="545"/>
      <c r="V954" s="545"/>
      <c r="W954" s="545"/>
    </row>
    <row r="955" spans="1:23" s="9" customFormat="1" ht="30" customHeight="1">
      <c r="A955" s="263" t="s">
        <v>401</v>
      </c>
      <c r="B955" s="111">
        <v>129</v>
      </c>
      <c r="C955" s="111">
        <v>125</v>
      </c>
      <c r="D955" s="264">
        <v>125</v>
      </c>
      <c r="E955" s="116">
        <v>2.5</v>
      </c>
      <c r="F955" s="116">
        <v>3.1</v>
      </c>
      <c r="G955" s="116">
        <v>4.4</v>
      </c>
      <c r="H955" s="55">
        <f>E955*4+F955*9+G955*4</f>
        <v>55.50000000000001</v>
      </c>
      <c r="I955" s="261" t="s">
        <v>258</v>
      </c>
      <c r="J955" s="80"/>
      <c r="K955" s="80"/>
      <c r="L955" s="80"/>
      <c r="P955" s="528"/>
      <c r="Q955" s="528"/>
      <c r="R955" s="528"/>
      <c r="S955" s="528"/>
      <c r="T955" s="528"/>
      <c r="U955" s="528"/>
      <c r="V955" s="528"/>
      <c r="W955" s="528"/>
    </row>
    <row r="956" spans="1:23" s="80" customFormat="1" ht="30" customHeight="1">
      <c r="A956" s="516" t="s">
        <v>63</v>
      </c>
      <c r="B956" s="516"/>
      <c r="C956" s="516"/>
      <c r="D956" s="167">
        <f>D957+265+125+D994+D1005</f>
        <v>870</v>
      </c>
      <c r="E956" s="51">
        <f>E957+E971+E986+E994+E1005+E1010+E1012</f>
        <v>35.49</v>
      </c>
      <c r="F956" s="51">
        <f>F957+F971+F986+F994+F1005+F1010+F1012</f>
        <v>28.300000000000004</v>
      </c>
      <c r="G956" s="51">
        <f>G957+G971+G986+G994+G1005+G1010+G1012</f>
        <v>128.90428571428572</v>
      </c>
      <c r="H956" s="51">
        <f>H957+H971+H986+H994+H1005+H1010+H1012</f>
        <v>909.677142857143</v>
      </c>
      <c r="I956" s="395"/>
      <c r="P956" s="531"/>
      <c r="Q956" s="531"/>
      <c r="R956" s="531"/>
      <c r="S956" s="531"/>
      <c r="T956" s="531"/>
      <c r="U956" s="531"/>
      <c r="V956" s="531"/>
      <c r="W956" s="531"/>
    </row>
    <row r="957" spans="1:23" s="80" customFormat="1" ht="30" customHeight="1">
      <c r="A957" s="502" t="s">
        <v>259</v>
      </c>
      <c r="B957" s="502"/>
      <c r="C957" s="502"/>
      <c r="D957" s="24">
        <v>100</v>
      </c>
      <c r="E957" s="26">
        <v>1.6</v>
      </c>
      <c r="F957" s="26">
        <v>5.1</v>
      </c>
      <c r="G957" s="26">
        <v>9.6</v>
      </c>
      <c r="H957" s="26">
        <f>E957*4+F957*9+G957*4</f>
        <v>90.69999999999999</v>
      </c>
      <c r="I957" s="260" t="s">
        <v>260</v>
      </c>
      <c r="J957" s="9"/>
      <c r="K957" s="9"/>
      <c r="L957" s="9"/>
      <c r="P957" s="310"/>
      <c r="Q957" s="310"/>
      <c r="R957" s="528"/>
      <c r="S957" s="528"/>
      <c r="T957" s="528"/>
      <c r="U957" s="528"/>
      <c r="V957" s="528"/>
      <c r="W957" s="528"/>
    </row>
    <row r="958" spans="1:23" s="80" customFormat="1" ht="30" customHeight="1">
      <c r="A958" s="265" t="s">
        <v>261</v>
      </c>
      <c r="B958" s="45">
        <f>C958*1.25</f>
        <v>105</v>
      </c>
      <c r="C958" s="44">
        <v>84</v>
      </c>
      <c r="D958" s="44"/>
      <c r="E958" s="49"/>
      <c r="F958" s="49"/>
      <c r="G958" s="49"/>
      <c r="H958" s="49"/>
      <c r="I958" s="260"/>
      <c r="J958" s="9"/>
      <c r="K958" s="9"/>
      <c r="L958" s="9"/>
      <c r="P958" s="310"/>
      <c r="Q958" s="310"/>
      <c r="R958" s="528"/>
      <c r="S958" s="528"/>
      <c r="T958" s="528"/>
      <c r="U958" s="528"/>
      <c r="V958" s="528"/>
      <c r="W958" s="528"/>
    </row>
    <row r="959" spans="1:23" s="80" customFormat="1" ht="30" customHeight="1">
      <c r="A959" s="113" t="s">
        <v>67</v>
      </c>
      <c r="B959" s="128">
        <f>C959*1.25</f>
        <v>12.5</v>
      </c>
      <c r="C959" s="111">
        <v>10</v>
      </c>
      <c r="D959" s="44"/>
      <c r="E959" s="44"/>
      <c r="F959" s="44"/>
      <c r="G959" s="44"/>
      <c r="H959" s="49"/>
      <c r="I959" s="262"/>
      <c r="J959" s="9"/>
      <c r="K959" s="9"/>
      <c r="L959" s="9"/>
      <c r="M959" s="9"/>
      <c r="N959" s="9"/>
      <c r="O959" s="9"/>
      <c r="P959" s="310"/>
      <c r="Q959" s="310"/>
      <c r="R959" s="528"/>
      <c r="S959" s="528"/>
      <c r="T959" s="528"/>
      <c r="U959" s="528"/>
      <c r="V959" s="528"/>
      <c r="W959" s="528"/>
    </row>
    <row r="960" spans="1:23" s="9" customFormat="1" ht="30" customHeight="1">
      <c r="A960" s="119" t="s">
        <v>16</v>
      </c>
      <c r="B960" s="128">
        <f>C960*1.33</f>
        <v>13.3</v>
      </c>
      <c r="C960" s="111">
        <v>10</v>
      </c>
      <c r="D960" s="44"/>
      <c r="E960" s="44"/>
      <c r="F960" s="44"/>
      <c r="G960" s="44"/>
      <c r="H960" s="49"/>
      <c r="I960" s="262"/>
      <c r="N960" s="80"/>
      <c r="O960" s="80"/>
      <c r="P960" s="310"/>
      <c r="Q960" s="310"/>
      <c r="R960" s="528"/>
      <c r="S960" s="528"/>
      <c r="T960" s="528"/>
      <c r="U960" s="528"/>
      <c r="V960" s="528"/>
      <c r="W960" s="528"/>
    </row>
    <row r="961" spans="1:23" s="155" customFormat="1" ht="30" customHeight="1">
      <c r="A961" s="550" t="s">
        <v>529</v>
      </c>
      <c r="B961" s="550"/>
      <c r="C961" s="550"/>
      <c r="D961" s="44"/>
      <c r="E961" s="44"/>
      <c r="F961" s="44"/>
      <c r="G961" s="44"/>
      <c r="H961" s="49"/>
      <c r="I961" s="262"/>
      <c r="J961" s="9"/>
      <c r="K961" s="9"/>
      <c r="L961" s="9"/>
      <c r="M961" s="9"/>
      <c r="N961" s="80"/>
      <c r="O961" s="80"/>
      <c r="P961" s="532"/>
      <c r="Q961" s="532"/>
      <c r="R961" s="533"/>
      <c r="S961" s="533"/>
      <c r="T961" s="533"/>
      <c r="U961" s="533"/>
      <c r="V961" s="533"/>
      <c r="W961" s="533"/>
    </row>
    <row r="962" spans="1:23" s="9" customFormat="1" ht="30" customHeight="1">
      <c r="A962" s="113" t="s">
        <v>4</v>
      </c>
      <c r="B962" s="168">
        <v>4</v>
      </c>
      <c r="C962" s="111">
        <v>4</v>
      </c>
      <c r="D962" s="44"/>
      <c r="E962" s="44"/>
      <c r="F962" s="47"/>
      <c r="G962" s="47"/>
      <c r="H962" s="40"/>
      <c r="I962" s="260"/>
      <c r="J962" s="80"/>
      <c r="K962" s="80"/>
      <c r="L962" s="80"/>
      <c r="N962" s="80"/>
      <c r="O962" s="80"/>
      <c r="P962" s="310"/>
      <c r="Q962" s="534"/>
      <c r="R962" s="534"/>
      <c r="S962" s="534"/>
      <c r="T962" s="534"/>
      <c r="U962" s="534"/>
      <c r="V962" s="534"/>
      <c r="W962" s="534"/>
    </row>
    <row r="963" spans="1:23" s="80" customFormat="1" ht="30" customHeight="1">
      <c r="A963" s="113" t="s">
        <v>262</v>
      </c>
      <c r="B963" s="224">
        <v>0.12</v>
      </c>
      <c r="C963" s="111">
        <v>0.12</v>
      </c>
      <c r="D963" s="44"/>
      <c r="E963" s="44"/>
      <c r="F963" s="47"/>
      <c r="G963" s="47"/>
      <c r="H963" s="40"/>
      <c r="I963" s="260"/>
      <c r="J963" s="92"/>
      <c r="M963" s="9"/>
      <c r="P963" s="310"/>
      <c r="Q963" s="277"/>
      <c r="R963" s="277"/>
      <c r="S963" s="524"/>
      <c r="T963" s="525"/>
      <c r="U963" s="526"/>
      <c r="V963" s="526"/>
      <c r="W963" s="277"/>
    </row>
    <row r="964" spans="1:23" s="80" customFormat="1" ht="30" customHeight="1">
      <c r="A964" s="113" t="s">
        <v>263</v>
      </c>
      <c r="B964" s="168">
        <v>6</v>
      </c>
      <c r="C964" s="111">
        <v>6</v>
      </c>
      <c r="D964" s="44"/>
      <c r="E964" s="44"/>
      <c r="F964" s="47"/>
      <c r="G964" s="47"/>
      <c r="H964" s="40"/>
      <c r="I964" s="260"/>
      <c r="M964" s="9"/>
      <c r="P964" s="310"/>
      <c r="Q964" s="278"/>
      <c r="R964" s="278"/>
      <c r="S964" s="527"/>
      <c r="T964" s="525"/>
      <c r="U964" s="524"/>
      <c r="V964" s="524"/>
      <c r="W964" s="277"/>
    </row>
    <row r="965" spans="1:23" s="80" customFormat="1" ht="30" customHeight="1">
      <c r="A965" s="67" t="s">
        <v>81</v>
      </c>
      <c r="B965" s="44">
        <v>5</v>
      </c>
      <c r="C965" s="44">
        <v>5</v>
      </c>
      <c r="D965" s="44"/>
      <c r="E965" s="128"/>
      <c r="F965" s="128"/>
      <c r="G965" s="56"/>
      <c r="H965" s="55"/>
      <c r="I965" s="374"/>
      <c r="M965" s="9"/>
      <c r="P965" s="310"/>
      <c r="Q965" s="278"/>
      <c r="R965" s="278"/>
      <c r="S965" s="278"/>
      <c r="T965" s="16"/>
      <c r="U965" s="277"/>
      <c r="V965" s="277"/>
      <c r="W965" s="277"/>
    </row>
    <row r="966" spans="1:23" s="80" customFormat="1" ht="30" customHeight="1">
      <c r="A966" s="506" t="s">
        <v>76</v>
      </c>
      <c r="B966" s="506"/>
      <c r="C966" s="506"/>
      <c r="D966" s="506"/>
      <c r="E966" s="506"/>
      <c r="F966" s="506"/>
      <c r="G966" s="506"/>
      <c r="H966" s="506"/>
      <c r="I966" s="506"/>
      <c r="M966" s="9"/>
      <c r="P966" s="310"/>
      <c r="Q966" s="278"/>
      <c r="R966" s="278"/>
      <c r="S966" s="278"/>
      <c r="T966" s="16"/>
      <c r="U966" s="277"/>
      <c r="V966" s="277"/>
      <c r="W966" s="277"/>
    </row>
    <row r="967" spans="1:23" s="80" customFormat="1" ht="30" customHeight="1">
      <c r="A967" s="502" t="s">
        <v>275</v>
      </c>
      <c r="B967" s="502"/>
      <c r="C967" s="502"/>
      <c r="D967" s="54">
        <v>100</v>
      </c>
      <c r="E967" s="56">
        <v>1</v>
      </c>
      <c r="F967" s="56">
        <v>0.3333333333333333</v>
      </c>
      <c r="G967" s="56">
        <v>4</v>
      </c>
      <c r="H967" s="169">
        <f>E967*4+F967*9+G967*4</f>
        <v>23</v>
      </c>
      <c r="I967" s="261" t="s">
        <v>239</v>
      </c>
      <c r="M967" s="9"/>
      <c r="P967" s="310"/>
      <c r="Q967" s="278"/>
      <c r="R967" s="278"/>
      <c r="S967" s="278"/>
      <c r="T967" s="16"/>
      <c r="U967" s="277"/>
      <c r="V967" s="277"/>
      <c r="W967" s="277"/>
    </row>
    <row r="968" spans="1:23" s="80" customFormat="1" ht="30" customHeight="1">
      <c r="A968" s="119" t="s">
        <v>102</v>
      </c>
      <c r="B968" s="45">
        <f>C968*1.02</f>
        <v>102</v>
      </c>
      <c r="C968" s="75">
        <v>100</v>
      </c>
      <c r="D968" s="74"/>
      <c r="E968" s="103"/>
      <c r="F968" s="103"/>
      <c r="G968" s="103"/>
      <c r="H968" s="103"/>
      <c r="I968" s="436"/>
      <c r="J968" s="9"/>
      <c r="K968" s="9"/>
      <c r="L968" s="9"/>
      <c r="M968" s="9"/>
      <c r="P968" s="310"/>
      <c r="Q968" s="278"/>
      <c r="R968" s="278"/>
      <c r="S968" s="527"/>
      <c r="T968" s="525"/>
      <c r="U968" s="524"/>
      <c r="V968" s="524"/>
      <c r="W968" s="277"/>
    </row>
    <row r="969" spans="1:23" s="80" customFormat="1" ht="30" customHeight="1">
      <c r="A969" s="67" t="s">
        <v>103</v>
      </c>
      <c r="B969" s="45">
        <f>C969*1.18</f>
        <v>118</v>
      </c>
      <c r="C969" s="75">
        <v>100</v>
      </c>
      <c r="D969" s="74"/>
      <c r="E969" s="103"/>
      <c r="F969" s="103"/>
      <c r="G969" s="103"/>
      <c r="H969" s="103"/>
      <c r="I969" s="386"/>
      <c r="J969" s="9"/>
      <c r="K969" s="9"/>
      <c r="L969" s="9"/>
      <c r="M969" s="9"/>
      <c r="N969" s="9"/>
      <c r="O969" s="9"/>
      <c r="P969" s="16"/>
      <c r="Q969" s="16"/>
      <c r="R969" s="89"/>
      <c r="S969" s="89"/>
      <c r="T969" s="89"/>
      <c r="U969" s="89"/>
      <c r="V969" s="89"/>
      <c r="W969" s="89"/>
    </row>
    <row r="970" spans="1:23" s="80" customFormat="1" ht="30" customHeight="1">
      <c r="A970" s="67" t="s">
        <v>117</v>
      </c>
      <c r="B970" s="45">
        <f>C970*1.82</f>
        <v>182</v>
      </c>
      <c r="C970" s="75">
        <v>100</v>
      </c>
      <c r="D970" s="74"/>
      <c r="E970" s="103"/>
      <c r="F970" s="103"/>
      <c r="G970" s="103"/>
      <c r="H970" s="103"/>
      <c r="I970" s="386"/>
      <c r="K970" s="1" t="s">
        <v>52</v>
      </c>
      <c r="L970" s="9"/>
      <c r="M970" s="9"/>
      <c r="N970" s="9"/>
      <c r="O970" s="9"/>
      <c r="P970" s="16"/>
      <c r="Q970" s="16"/>
      <c r="R970" s="16"/>
      <c r="S970" s="16"/>
      <c r="T970" s="16"/>
      <c r="U970" s="89"/>
      <c r="V970" s="89"/>
      <c r="W970" s="89"/>
    </row>
    <row r="971" spans="1:23" s="9" customFormat="1" ht="30" customHeight="1">
      <c r="A971" s="507" t="s">
        <v>350</v>
      </c>
      <c r="B971" s="554"/>
      <c r="C971" s="554"/>
      <c r="D971" s="52" t="s">
        <v>159</v>
      </c>
      <c r="E971" s="54">
        <v>4.7</v>
      </c>
      <c r="F971" s="54">
        <v>5.2</v>
      </c>
      <c r="G971" s="54">
        <v>14.4</v>
      </c>
      <c r="H971" s="55">
        <f>G971*4+F971*9+E971*4</f>
        <v>123.2</v>
      </c>
      <c r="I971" s="260" t="s">
        <v>264</v>
      </c>
      <c r="J971" s="80"/>
      <c r="K971" s="347" t="s">
        <v>176</v>
      </c>
      <c r="L971" s="9">
        <f>D1012</f>
        <v>50</v>
      </c>
      <c r="P971" s="16"/>
      <c r="Q971" s="16"/>
      <c r="R971" s="16"/>
      <c r="S971" s="16"/>
      <c r="T971" s="16"/>
      <c r="U971" s="16"/>
      <c r="V971" s="16"/>
      <c r="W971" s="16"/>
    </row>
    <row r="972" spans="1:23" s="9" customFormat="1" ht="30" customHeight="1">
      <c r="A972" s="68" t="s">
        <v>90</v>
      </c>
      <c r="B972" s="172">
        <f>C972*1.36</f>
        <v>21.76</v>
      </c>
      <c r="C972" s="39">
        <v>16</v>
      </c>
      <c r="D972" s="37"/>
      <c r="E972" s="173"/>
      <c r="F972" s="173"/>
      <c r="G972" s="173"/>
      <c r="H972" s="174"/>
      <c r="I972" s="389"/>
      <c r="K972" s="347" t="s">
        <v>136</v>
      </c>
      <c r="L972" s="9">
        <f>D1010+B941</f>
        <v>100</v>
      </c>
      <c r="P972" s="16"/>
      <c r="Q972" s="16"/>
      <c r="R972" s="16"/>
      <c r="S972" s="16"/>
      <c r="T972" s="16"/>
      <c r="U972" s="16"/>
      <c r="V972" s="16"/>
      <c r="W972" s="16"/>
    </row>
    <row r="973" spans="1:23" s="9" customFormat="1" ht="30" customHeight="1">
      <c r="A973" s="68" t="s">
        <v>91</v>
      </c>
      <c r="B973" s="172">
        <f>C973*1.18</f>
        <v>18.88</v>
      </c>
      <c r="C973" s="39">
        <v>16</v>
      </c>
      <c r="D973" s="37"/>
      <c r="E973" s="173"/>
      <c r="F973" s="173"/>
      <c r="G973" s="173"/>
      <c r="H973" s="174"/>
      <c r="I973" s="389"/>
      <c r="J973" s="80"/>
      <c r="K973" s="105" t="s">
        <v>162</v>
      </c>
      <c r="L973" s="81">
        <f>C991+C948</f>
        <v>22</v>
      </c>
      <c r="P973" s="16"/>
      <c r="Q973" s="16"/>
      <c r="R973" s="16"/>
      <c r="S973" s="16"/>
      <c r="T973" s="16"/>
      <c r="U973" s="16"/>
      <c r="V973" s="16"/>
      <c r="W973" s="16"/>
    </row>
    <row r="974" spans="1:23" s="9" customFormat="1" ht="30" customHeight="1">
      <c r="A974" s="64" t="s">
        <v>12</v>
      </c>
      <c r="B974" s="43">
        <f>C974*1.33</f>
        <v>99.75</v>
      </c>
      <c r="C974" s="5">
        <v>75</v>
      </c>
      <c r="D974" s="28"/>
      <c r="E974" s="77"/>
      <c r="F974" s="77"/>
      <c r="G974" s="77"/>
      <c r="H974" s="25"/>
      <c r="I974" s="388"/>
      <c r="J974" s="80"/>
      <c r="K974" s="347" t="s">
        <v>72</v>
      </c>
      <c r="L974" s="181">
        <f>C978</f>
        <v>5</v>
      </c>
      <c r="P974" s="16"/>
      <c r="Q974" s="16"/>
      <c r="R974" s="16"/>
      <c r="S974" s="16"/>
      <c r="T974" s="16"/>
      <c r="U974" s="16"/>
      <c r="V974" s="16"/>
      <c r="W974" s="16"/>
    </row>
    <row r="975" spans="1:23" s="9" customFormat="1" ht="30" customHeight="1">
      <c r="A975" s="64" t="s">
        <v>13</v>
      </c>
      <c r="B975" s="43">
        <f>C975*1.43</f>
        <v>107.25</v>
      </c>
      <c r="C975" s="5">
        <v>75</v>
      </c>
      <c r="D975" s="28"/>
      <c r="E975" s="77"/>
      <c r="F975" s="77"/>
      <c r="G975" s="77"/>
      <c r="H975" s="25"/>
      <c r="I975" s="388"/>
      <c r="K975" s="347" t="s">
        <v>177</v>
      </c>
      <c r="L975" s="18"/>
      <c r="O975" s="80"/>
      <c r="P975" s="89"/>
      <c r="Q975" s="89"/>
      <c r="R975" s="16"/>
      <c r="S975" s="16"/>
      <c r="T975" s="16"/>
      <c r="U975" s="16"/>
      <c r="V975" s="16"/>
      <c r="W975" s="16"/>
    </row>
    <row r="976" spans="1:23" s="9" customFormat="1" ht="30" customHeight="1">
      <c r="A976" s="67" t="s">
        <v>14</v>
      </c>
      <c r="B976" s="43">
        <f>C976*1.54</f>
        <v>115.5</v>
      </c>
      <c r="C976" s="5">
        <v>75</v>
      </c>
      <c r="D976" s="28"/>
      <c r="E976" s="77"/>
      <c r="F976" s="77"/>
      <c r="G976" s="77"/>
      <c r="H976" s="25"/>
      <c r="I976" s="388"/>
      <c r="J976" s="80"/>
      <c r="K976" s="105" t="s">
        <v>28</v>
      </c>
      <c r="L976" s="18">
        <f>C974+C995</f>
        <v>228</v>
      </c>
      <c r="P976" s="16"/>
      <c r="Q976" s="16"/>
      <c r="R976" s="16"/>
      <c r="S976" s="16"/>
      <c r="T976" s="16"/>
      <c r="U976" s="16"/>
      <c r="V976" s="16"/>
      <c r="W976" s="16"/>
    </row>
    <row r="977" spans="1:23" s="9" customFormat="1" ht="30" customHeight="1">
      <c r="A977" s="67" t="s">
        <v>15</v>
      </c>
      <c r="B977" s="43">
        <f>C977*1.67</f>
        <v>125.25</v>
      </c>
      <c r="C977" s="5">
        <v>75</v>
      </c>
      <c r="D977" s="28"/>
      <c r="E977" s="77"/>
      <c r="F977" s="77"/>
      <c r="G977" s="77"/>
      <c r="H977" s="25"/>
      <c r="I977" s="388"/>
      <c r="J977" s="80"/>
      <c r="K977" s="347" t="s">
        <v>353</v>
      </c>
      <c r="L977" s="18">
        <f>+C958++C980+C979+C982+C985++C959</f>
        <v>124.2</v>
      </c>
      <c r="P977" s="16"/>
      <c r="Q977" s="16"/>
      <c r="R977" s="16"/>
      <c r="S977" s="16"/>
      <c r="T977" s="16"/>
      <c r="U977" s="16"/>
      <c r="V977" s="16"/>
      <c r="W977" s="16"/>
    </row>
    <row r="978" spans="1:23" s="80" customFormat="1" ht="30" customHeight="1">
      <c r="A978" s="72" t="s">
        <v>130</v>
      </c>
      <c r="B978" s="5">
        <v>5</v>
      </c>
      <c r="C978" s="5">
        <v>5</v>
      </c>
      <c r="D978" s="44"/>
      <c r="E978" s="128"/>
      <c r="F978" s="128"/>
      <c r="G978" s="196"/>
      <c r="H978" s="197"/>
      <c r="I978" s="374"/>
      <c r="K978" s="105" t="s">
        <v>29</v>
      </c>
      <c r="L978" s="9">
        <f>+C954+C1006</f>
        <v>31</v>
      </c>
      <c r="O978" s="9"/>
      <c r="P978" s="16"/>
      <c r="Q978" s="16"/>
      <c r="R978" s="89"/>
      <c r="S978" s="89"/>
      <c r="T978" s="89"/>
      <c r="U978" s="89"/>
      <c r="V978" s="89"/>
      <c r="W978" s="89"/>
    </row>
    <row r="979" spans="1:23" s="80" customFormat="1" ht="30" customHeight="1">
      <c r="A979" s="64" t="s">
        <v>18</v>
      </c>
      <c r="B979" s="45">
        <f>C979*1.19</f>
        <v>5.949999999999999</v>
      </c>
      <c r="C979" s="43">
        <v>5</v>
      </c>
      <c r="D979" s="37"/>
      <c r="E979" s="173"/>
      <c r="F979" s="173"/>
      <c r="G979" s="173"/>
      <c r="H979" s="174"/>
      <c r="I979" s="389"/>
      <c r="K979" s="105" t="s">
        <v>178</v>
      </c>
      <c r="O979" s="9"/>
      <c r="P979" s="16"/>
      <c r="Q979" s="16"/>
      <c r="R979" s="89"/>
      <c r="S979" s="89"/>
      <c r="T979" s="89"/>
      <c r="U979" s="89"/>
      <c r="V979" s="89"/>
      <c r="W979" s="89"/>
    </row>
    <row r="980" spans="1:23" s="80" customFormat="1" ht="30" customHeight="1">
      <c r="A980" s="64" t="s">
        <v>67</v>
      </c>
      <c r="B980" s="48">
        <f>C980*1.25</f>
        <v>12.5</v>
      </c>
      <c r="C980" s="43">
        <v>10</v>
      </c>
      <c r="D980" s="37"/>
      <c r="E980" s="173"/>
      <c r="F980" s="173"/>
      <c r="G980" s="173"/>
      <c r="H980" s="174"/>
      <c r="I980" s="389"/>
      <c r="K980" s="347" t="s">
        <v>354</v>
      </c>
      <c r="L980" s="81">
        <f>C947+B953+C1008+C962</f>
        <v>39</v>
      </c>
      <c r="O980" s="9"/>
      <c r="P980" s="16"/>
      <c r="Q980" s="16"/>
      <c r="R980" s="89"/>
      <c r="S980" s="89"/>
      <c r="T980" s="89"/>
      <c r="U980" s="89"/>
      <c r="V980" s="89"/>
      <c r="W980" s="89"/>
    </row>
    <row r="981" spans="1:23" s="9" customFormat="1" ht="30" customHeight="1">
      <c r="A981" s="64" t="s">
        <v>16</v>
      </c>
      <c r="B981" s="48">
        <f>C981*1.33</f>
        <v>13.3</v>
      </c>
      <c r="C981" s="43">
        <v>10</v>
      </c>
      <c r="D981" s="37"/>
      <c r="E981" s="173"/>
      <c r="F981" s="173"/>
      <c r="G981" s="173"/>
      <c r="H981" s="174"/>
      <c r="I981" s="389"/>
      <c r="J981" s="80"/>
      <c r="K981" s="347" t="s">
        <v>395</v>
      </c>
      <c r="L981" s="80"/>
      <c r="P981" s="16"/>
      <c r="Q981" s="16"/>
      <c r="R981" s="16"/>
      <c r="S981" s="16"/>
      <c r="T981" s="16"/>
      <c r="U981" s="16"/>
      <c r="V981" s="16"/>
      <c r="W981" s="16"/>
    </row>
    <row r="982" spans="1:23" s="80" customFormat="1" ht="30" customHeight="1">
      <c r="A982" s="64" t="s">
        <v>129</v>
      </c>
      <c r="B982" s="43">
        <f>C982*1.82</f>
        <v>27.3</v>
      </c>
      <c r="C982" s="5">
        <v>15</v>
      </c>
      <c r="D982" s="44"/>
      <c r="E982" s="128"/>
      <c r="F982" s="128"/>
      <c r="G982" s="196"/>
      <c r="H982" s="197"/>
      <c r="I982" s="374"/>
      <c r="J982" s="9"/>
      <c r="K982" s="105" t="s">
        <v>31</v>
      </c>
      <c r="L982" s="9">
        <f>C949</f>
        <v>30</v>
      </c>
      <c r="O982" s="9"/>
      <c r="P982" s="16"/>
      <c r="Q982" s="16"/>
      <c r="R982" s="89"/>
      <c r="S982" s="89"/>
      <c r="T982" s="89"/>
      <c r="U982" s="89"/>
      <c r="V982" s="89"/>
      <c r="W982" s="89"/>
    </row>
    <row r="983" spans="1:23" s="80" customFormat="1" ht="30" customHeight="1">
      <c r="A983" s="113" t="s">
        <v>19</v>
      </c>
      <c r="B983" s="168">
        <v>5</v>
      </c>
      <c r="C983" s="168">
        <v>5</v>
      </c>
      <c r="D983" s="150"/>
      <c r="E983" s="175"/>
      <c r="F983" s="175"/>
      <c r="G983" s="175"/>
      <c r="H983" s="183"/>
      <c r="I983" s="390"/>
      <c r="K983" s="105" t="s">
        <v>77</v>
      </c>
      <c r="L983" s="9"/>
      <c r="O983" s="9"/>
      <c r="P983" s="16"/>
      <c r="Q983" s="16"/>
      <c r="R983" s="89"/>
      <c r="S983" s="89"/>
      <c r="T983" s="89"/>
      <c r="U983" s="89"/>
      <c r="V983" s="89"/>
      <c r="W983" s="89"/>
    </row>
    <row r="984" spans="1:23" s="80" customFormat="1" ht="30" customHeight="1">
      <c r="A984" s="67" t="s">
        <v>62</v>
      </c>
      <c r="B984" s="44">
        <v>5</v>
      </c>
      <c r="C984" s="44">
        <v>5</v>
      </c>
      <c r="D984" s="44"/>
      <c r="E984" s="128"/>
      <c r="F984" s="128"/>
      <c r="G984" s="196"/>
      <c r="H984" s="197"/>
      <c r="I984" s="374"/>
      <c r="J984" s="9"/>
      <c r="K984" s="347" t="s">
        <v>39</v>
      </c>
      <c r="O984" s="9"/>
      <c r="P984" s="16"/>
      <c r="Q984" s="16"/>
      <c r="R984" s="89"/>
      <c r="S984" s="89"/>
      <c r="T984" s="89"/>
      <c r="U984" s="89"/>
      <c r="V984" s="89"/>
      <c r="W984" s="89"/>
    </row>
    <row r="985" spans="1:23" s="80" customFormat="1" ht="30" customHeight="1">
      <c r="A985" s="66" t="s">
        <v>78</v>
      </c>
      <c r="B985" s="176">
        <v>0.2</v>
      </c>
      <c r="C985" s="176">
        <v>0.2</v>
      </c>
      <c r="D985" s="37"/>
      <c r="E985" s="173"/>
      <c r="F985" s="173"/>
      <c r="G985" s="173"/>
      <c r="H985" s="174"/>
      <c r="I985" s="389"/>
      <c r="J985" s="9"/>
      <c r="K985" s="105" t="s">
        <v>179</v>
      </c>
      <c r="O985" s="9"/>
      <c r="P985" s="16"/>
      <c r="Q985" s="16"/>
      <c r="R985" s="89"/>
      <c r="S985" s="89"/>
      <c r="T985" s="89"/>
      <c r="U985" s="89"/>
      <c r="V985" s="89"/>
      <c r="W985" s="89"/>
    </row>
    <row r="986" spans="1:23" s="80" customFormat="1" ht="30" customHeight="1">
      <c r="A986" s="503" t="s">
        <v>265</v>
      </c>
      <c r="B986" s="503"/>
      <c r="C986" s="44"/>
      <c r="D986" s="24" t="s">
        <v>59</v>
      </c>
      <c r="E986" s="56">
        <v>20.3</v>
      </c>
      <c r="F986" s="56">
        <v>12.4</v>
      </c>
      <c r="G986" s="56">
        <v>6.214285714285715</v>
      </c>
      <c r="H986" s="55">
        <f>E986*4+F986*9+G986*4</f>
        <v>217.65714285714287</v>
      </c>
      <c r="I986" s="261" t="s">
        <v>266</v>
      </c>
      <c r="K986" s="105" t="s">
        <v>32</v>
      </c>
      <c r="L986" s="80">
        <f>C952</f>
        <v>2</v>
      </c>
      <c r="O986" s="9"/>
      <c r="P986" s="16"/>
      <c r="Q986" s="16"/>
      <c r="R986" s="89"/>
      <c r="S986" s="89"/>
      <c r="T986" s="89"/>
      <c r="U986" s="89"/>
      <c r="V986" s="89"/>
      <c r="W986" s="89"/>
    </row>
    <row r="987" spans="1:23" s="80" customFormat="1" ht="30" customHeight="1">
      <c r="A987" s="70" t="s">
        <v>86</v>
      </c>
      <c r="B987" s="33">
        <f>C987*1.35</f>
        <v>183.60000000000002</v>
      </c>
      <c r="C987" s="34">
        <v>136</v>
      </c>
      <c r="D987" s="44"/>
      <c r="E987" s="128"/>
      <c r="F987" s="128"/>
      <c r="G987" s="128"/>
      <c r="H987" s="128"/>
      <c r="I987" s="373"/>
      <c r="K987" s="105" t="s">
        <v>180</v>
      </c>
      <c r="L987" s="18">
        <f>C972</f>
        <v>16</v>
      </c>
      <c r="O987" s="126"/>
      <c r="P987" s="185"/>
      <c r="Q987" s="185"/>
      <c r="R987" s="89"/>
      <c r="S987" s="89"/>
      <c r="T987" s="89"/>
      <c r="U987" s="89"/>
      <c r="V987" s="89"/>
      <c r="W987" s="89"/>
    </row>
    <row r="988" spans="1:23" s="9" customFormat="1" ht="30" customHeight="1">
      <c r="A988" s="70" t="s">
        <v>89</v>
      </c>
      <c r="B988" s="33">
        <f>C988*1.16</f>
        <v>165.88</v>
      </c>
      <c r="C988" s="45">
        <v>143</v>
      </c>
      <c r="D988" s="21"/>
      <c r="E988" s="56"/>
      <c r="F988" s="56"/>
      <c r="G988" s="56"/>
      <c r="H988" s="55"/>
      <c r="I988" s="374"/>
      <c r="J988" s="80"/>
      <c r="K988" s="347" t="s">
        <v>182</v>
      </c>
      <c r="L988" s="181"/>
      <c r="O988" s="80"/>
      <c r="P988" s="89"/>
      <c r="Q988" s="89"/>
      <c r="R988" s="16"/>
      <c r="S988" s="16"/>
      <c r="T988" s="16"/>
      <c r="U988" s="16"/>
      <c r="V988" s="16"/>
      <c r="W988" s="16"/>
    </row>
    <row r="989" spans="1:23" s="9" customFormat="1" ht="30" customHeight="1">
      <c r="A989" s="70" t="s">
        <v>150</v>
      </c>
      <c r="B989" s="61">
        <f>C989*1.43</f>
        <v>204.48999999999998</v>
      </c>
      <c r="C989" s="45">
        <v>143</v>
      </c>
      <c r="D989" s="21"/>
      <c r="E989" s="56"/>
      <c r="F989" s="56"/>
      <c r="G989" s="56"/>
      <c r="H989" s="55"/>
      <c r="I989" s="374"/>
      <c r="J989" s="80"/>
      <c r="K989" s="105" t="s">
        <v>181</v>
      </c>
      <c r="L989" s="7"/>
      <c r="P989" s="16"/>
      <c r="Q989" s="16"/>
      <c r="R989" s="16"/>
      <c r="S989" s="16"/>
      <c r="T989" s="16"/>
      <c r="U989" s="16"/>
      <c r="V989" s="16"/>
      <c r="W989" s="16"/>
    </row>
    <row r="990" spans="1:23" s="9" customFormat="1" ht="30" customHeight="1">
      <c r="A990" s="148" t="s">
        <v>151</v>
      </c>
      <c r="B990" s="61">
        <f>C990*1.72</f>
        <v>245.96</v>
      </c>
      <c r="C990" s="45">
        <v>143</v>
      </c>
      <c r="D990" s="21"/>
      <c r="E990" s="56"/>
      <c r="F990" s="56"/>
      <c r="G990" s="56"/>
      <c r="H990" s="55"/>
      <c r="I990" s="374"/>
      <c r="K990" s="347" t="s">
        <v>183</v>
      </c>
      <c r="L990" s="18">
        <f>C988</f>
        <v>143</v>
      </c>
      <c r="P990" s="16"/>
      <c r="Q990" s="16"/>
      <c r="R990" s="16"/>
      <c r="S990" s="16"/>
      <c r="T990" s="16"/>
      <c r="U990" s="16"/>
      <c r="V990" s="16"/>
      <c r="W990" s="16"/>
    </row>
    <row r="991" spans="1:23" s="9" customFormat="1" ht="30" customHeight="1">
      <c r="A991" s="67" t="s">
        <v>21</v>
      </c>
      <c r="B991" s="45">
        <v>10</v>
      </c>
      <c r="C991" s="45">
        <v>10</v>
      </c>
      <c r="D991" s="44"/>
      <c r="E991" s="128"/>
      <c r="F991" s="128"/>
      <c r="G991" s="128"/>
      <c r="H991" s="168"/>
      <c r="I991" s="374"/>
      <c r="K991" s="352" t="s">
        <v>184</v>
      </c>
      <c r="L991" s="81">
        <f>C999+D955</f>
        <v>153</v>
      </c>
      <c r="P991" s="16"/>
      <c r="Q991" s="16"/>
      <c r="R991" s="16"/>
      <c r="S991" s="16"/>
      <c r="T991" s="16"/>
      <c r="U991" s="16"/>
      <c r="V991" s="16"/>
      <c r="W991" s="16"/>
    </row>
    <row r="992" spans="1:23" s="9" customFormat="1" ht="30" customHeight="1">
      <c r="A992" s="67" t="s">
        <v>11</v>
      </c>
      <c r="B992" s="45">
        <v>6</v>
      </c>
      <c r="C992" s="45">
        <v>6</v>
      </c>
      <c r="D992" s="44"/>
      <c r="E992" s="128"/>
      <c r="F992" s="128"/>
      <c r="G992" s="56"/>
      <c r="H992" s="55"/>
      <c r="I992" s="373"/>
      <c r="K992" s="352" t="s">
        <v>185</v>
      </c>
      <c r="L992" s="80">
        <f>D955</f>
        <v>125</v>
      </c>
      <c r="P992" s="16"/>
      <c r="Q992" s="16"/>
      <c r="R992" s="16"/>
      <c r="S992" s="16"/>
      <c r="T992" s="16"/>
      <c r="U992" s="16"/>
      <c r="V992" s="16"/>
      <c r="W992" s="16"/>
    </row>
    <row r="993" spans="1:23" s="80" customFormat="1" ht="30" customHeight="1">
      <c r="A993" s="113" t="s">
        <v>19</v>
      </c>
      <c r="B993" s="111">
        <v>5</v>
      </c>
      <c r="C993" s="111">
        <v>5</v>
      </c>
      <c r="D993" s="111"/>
      <c r="E993" s="128"/>
      <c r="F993" s="128"/>
      <c r="G993" s="128"/>
      <c r="H993" s="168"/>
      <c r="I993" s="373"/>
      <c r="J993" s="9"/>
      <c r="K993" s="347" t="s">
        <v>186</v>
      </c>
      <c r="L993" s="81">
        <f>C944</f>
        <v>160</v>
      </c>
      <c r="O993" s="9"/>
      <c r="P993" s="16"/>
      <c r="Q993" s="16"/>
      <c r="R993" s="89"/>
      <c r="S993" s="89"/>
      <c r="T993" s="89"/>
      <c r="U993" s="89"/>
      <c r="V993" s="89"/>
      <c r="W993" s="89"/>
    </row>
    <row r="994" spans="1:23" s="80" customFormat="1" ht="30" customHeight="1">
      <c r="A994" s="508" t="s">
        <v>250</v>
      </c>
      <c r="B994" s="508"/>
      <c r="C994" s="508"/>
      <c r="D994" s="47">
        <v>180</v>
      </c>
      <c r="E994" s="110">
        <v>3.6</v>
      </c>
      <c r="F994" s="110">
        <v>4.5</v>
      </c>
      <c r="G994" s="110">
        <v>23.1</v>
      </c>
      <c r="H994" s="55">
        <f>G994*4+F994*9+E994*4</f>
        <v>147.3</v>
      </c>
      <c r="I994" s="261" t="s">
        <v>251</v>
      </c>
      <c r="J994" s="9"/>
      <c r="K994" s="347" t="s">
        <v>187</v>
      </c>
      <c r="L994" s="18">
        <f>C984+B945</f>
        <v>15</v>
      </c>
      <c r="O994" s="9"/>
      <c r="P994" s="16"/>
      <c r="Q994" s="16"/>
      <c r="R994" s="89"/>
      <c r="S994" s="89"/>
      <c r="T994" s="89"/>
      <c r="U994" s="89"/>
      <c r="V994" s="89"/>
      <c r="W994" s="89"/>
    </row>
    <row r="995" spans="1:23" s="9" customFormat="1" ht="30" customHeight="1">
      <c r="A995" s="67" t="s">
        <v>12</v>
      </c>
      <c r="B995" s="45">
        <f>C995*1.33</f>
        <v>203.49</v>
      </c>
      <c r="C995" s="45">
        <v>153</v>
      </c>
      <c r="D995" s="44"/>
      <c r="E995" s="128"/>
      <c r="F995" s="128"/>
      <c r="G995" s="128"/>
      <c r="H995" s="168"/>
      <c r="I995" s="373"/>
      <c r="K995" s="347" t="s">
        <v>188</v>
      </c>
      <c r="P995" s="16"/>
      <c r="Q995" s="16"/>
      <c r="R995" s="16"/>
      <c r="S995" s="16"/>
      <c r="T995" s="16"/>
      <c r="U995" s="16"/>
      <c r="V995" s="16"/>
      <c r="W995" s="16"/>
    </row>
    <row r="996" spans="1:23" s="9" customFormat="1" ht="30" customHeight="1">
      <c r="A996" s="67" t="s">
        <v>13</v>
      </c>
      <c r="B996" s="45">
        <f>C996*1.43</f>
        <v>218.79</v>
      </c>
      <c r="C996" s="45">
        <v>153</v>
      </c>
      <c r="D996" s="44"/>
      <c r="E996" s="128"/>
      <c r="F996" s="128"/>
      <c r="G996" s="128"/>
      <c r="H996" s="168"/>
      <c r="I996" s="373"/>
      <c r="K996" s="352" t="s">
        <v>33</v>
      </c>
      <c r="L996" s="18">
        <f>C1004+C993+C983+C950+C942+C1116</f>
        <v>35</v>
      </c>
      <c r="P996" s="16"/>
      <c r="Q996" s="16"/>
      <c r="R996" s="16"/>
      <c r="S996" s="16"/>
      <c r="T996" s="16"/>
      <c r="U996" s="16"/>
      <c r="V996" s="16"/>
      <c r="W996" s="16"/>
    </row>
    <row r="997" spans="1:23" s="80" customFormat="1" ht="30" customHeight="1">
      <c r="A997" s="67" t="s">
        <v>14</v>
      </c>
      <c r="B997" s="45">
        <f>C997*1.54</f>
        <v>235.62</v>
      </c>
      <c r="C997" s="45">
        <v>153</v>
      </c>
      <c r="D997" s="44"/>
      <c r="E997" s="128"/>
      <c r="F997" s="56"/>
      <c r="G997" s="56"/>
      <c r="H997" s="55"/>
      <c r="I997" s="373"/>
      <c r="J997" s="9"/>
      <c r="K997" s="105" t="s">
        <v>34</v>
      </c>
      <c r="L997" s="18">
        <f>C965+C992</f>
        <v>11</v>
      </c>
      <c r="O997" s="9"/>
      <c r="P997" s="16"/>
      <c r="Q997" s="16"/>
      <c r="R997" s="89"/>
      <c r="S997" s="89"/>
      <c r="T997" s="89"/>
      <c r="U997" s="89"/>
      <c r="V997" s="89"/>
      <c r="W997" s="89"/>
    </row>
    <row r="998" spans="1:23" s="80" customFormat="1" ht="30" customHeight="1">
      <c r="A998" s="67" t="s">
        <v>15</v>
      </c>
      <c r="B998" s="45">
        <f>C998*1.67</f>
        <v>255.51</v>
      </c>
      <c r="C998" s="45">
        <v>153</v>
      </c>
      <c r="D998" s="44"/>
      <c r="E998" s="128"/>
      <c r="F998" s="56"/>
      <c r="G998" s="56"/>
      <c r="H998" s="55"/>
      <c r="I998" s="373"/>
      <c r="J998" s="9"/>
      <c r="K998" s="105" t="s">
        <v>189</v>
      </c>
      <c r="L998" s="18">
        <f>B946</f>
        <v>10</v>
      </c>
      <c r="O998" s="9"/>
      <c r="P998" s="16"/>
      <c r="Q998" s="16"/>
      <c r="R998" s="89"/>
      <c r="S998" s="89"/>
      <c r="T998" s="89"/>
      <c r="U998" s="89"/>
      <c r="V998" s="89"/>
      <c r="W998" s="89"/>
    </row>
    <row r="999" spans="1:23" s="80" customFormat="1" ht="30" customHeight="1">
      <c r="A999" s="67" t="s">
        <v>56</v>
      </c>
      <c r="B999" s="5">
        <v>28</v>
      </c>
      <c r="C999" s="5">
        <v>28</v>
      </c>
      <c r="D999" s="44"/>
      <c r="E999" s="128"/>
      <c r="F999" s="128"/>
      <c r="G999" s="128"/>
      <c r="H999" s="168"/>
      <c r="I999" s="373"/>
      <c r="K999" s="105" t="s">
        <v>369</v>
      </c>
      <c r="L999" s="80">
        <f>C1009</f>
        <v>6</v>
      </c>
      <c r="O999" s="9"/>
      <c r="P999" s="16"/>
      <c r="Q999" s="16"/>
      <c r="R999" s="89"/>
      <c r="S999" s="89"/>
      <c r="T999" s="89"/>
      <c r="U999" s="89"/>
      <c r="V999" s="89"/>
      <c r="W999" s="89"/>
    </row>
    <row r="1000" spans="1:23" s="80" customFormat="1" ht="30" customHeight="1">
      <c r="A1000" s="73" t="s">
        <v>41</v>
      </c>
      <c r="B1000" s="243">
        <f>B999*460/1000</f>
        <v>12.88</v>
      </c>
      <c r="C1000" s="243">
        <f>C999*460/1000</f>
        <v>12.88</v>
      </c>
      <c r="D1000" s="194"/>
      <c r="E1000" s="56"/>
      <c r="F1000" s="56"/>
      <c r="G1000" s="56"/>
      <c r="H1000" s="55"/>
      <c r="I1000" s="373"/>
      <c r="J1000" s="9"/>
      <c r="K1000" s="105" t="s">
        <v>190</v>
      </c>
      <c r="L1000" s="9">
        <v>1.2</v>
      </c>
      <c r="O1000" s="9"/>
      <c r="P1000" s="16"/>
      <c r="Q1000" s="16"/>
      <c r="R1000" s="89"/>
      <c r="S1000" s="89"/>
      <c r="T1000" s="89"/>
      <c r="U1000" s="89"/>
      <c r="V1000" s="89"/>
      <c r="W1000" s="89"/>
    </row>
    <row r="1001" spans="1:23" s="80" customFormat="1" ht="30" customHeight="1">
      <c r="A1001" s="73" t="s">
        <v>42</v>
      </c>
      <c r="B1001" s="328">
        <f>B999*120/1000</f>
        <v>3.36</v>
      </c>
      <c r="C1001" s="328">
        <f>C999*120/1000</f>
        <v>3.36</v>
      </c>
      <c r="D1001" s="194"/>
      <c r="E1001" s="56"/>
      <c r="F1001" s="56"/>
      <c r="G1001" s="56"/>
      <c r="H1001" s="55"/>
      <c r="I1001" s="373"/>
      <c r="J1001" s="9"/>
      <c r="K1001" s="347" t="s">
        <v>191</v>
      </c>
      <c r="L1001" s="9">
        <v>3</v>
      </c>
      <c r="O1001" s="9"/>
      <c r="P1001" s="16"/>
      <c r="Q1001" s="16"/>
      <c r="R1001" s="89"/>
      <c r="S1001" s="89"/>
      <c r="T1001" s="89"/>
      <c r="U1001" s="89"/>
      <c r="V1001" s="89"/>
      <c r="W1001" s="89"/>
    </row>
    <row r="1002" spans="1:23" s="80" customFormat="1" ht="30" customHeight="1">
      <c r="A1002" s="230" t="s">
        <v>156</v>
      </c>
      <c r="B1002" s="231">
        <f>B999-B1000</f>
        <v>15.12</v>
      </c>
      <c r="C1002" s="231">
        <f>C999-C1000</f>
        <v>15.12</v>
      </c>
      <c r="D1002" s="232"/>
      <c r="E1002" s="233"/>
      <c r="F1002" s="233"/>
      <c r="G1002" s="233"/>
      <c r="H1002" s="234"/>
      <c r="I1002" s="377"/>
      <c r="J1002" s="9"/>
      <c r="K1002" s="9"/>
      <c r="L1002" s="9"/>
      <c r="O1002" s="9"/>
      <c r="P1002" s="16"/>
      <c r="Q1002" s="16"/>
      <c r="R1002" s="89"/>
      <c r="S1002" s="89"/>
      <c r="T1002" s="89"/>
      <c r="U1002" s="89"/>
      <c r="V1002" s="89"/>
      <c r="W1002" s="89"/>
    </row>
    <row r="1003" spans="1:23" s="9" customFormat="1" ht="30" customHeight="1">
      <c r="A1003" s="230" t="s">
        <v>157</v>
      </c>
      <c r="B1003" s="235">
        <f>B999-B1001</f>
        <v>24.64</v>
      </c>
      <c r="C1003" s="235">
        <f>C999-C1001</f>
        <v>24.64</v>
      </c>
      <c r="D1003" s="232"/>
      <c r="E1003" s="233"/>
      <c r="F1003" s="233"/>
      <c r="G1003" s="233"/>
      <c r="H1003" s="234"/>
      <c r="I1003" s="377"/>
      <c r="P1003" s="16"/>
      <c r="Q1003" s="16"/>
      <c r="R1003" s="16"/>
      <c r="S1003" s="16"/>
      <c r="T1003" s="16"/>
      <c r="U1003" s="16"/>
      <c r="V1003" s="16"/>
      <c r="W1003" s="16"/>
    </row>
    <row r="1004" spans="1:23" s="9" customFormat="1" ht="30" customHeight="1">
      <c r="A1004" s="113" t="s">
        <v>19</v>
      </c>
      <c r="B1004" s="168">
        <v>6</v>
      </c>
      <c r="C1004" s="168">
        <v>6</v>
      </c>
      <c r="D1004" s="111"/>
      <c r="E1004" s="128"/>
      <c r="F1004" s="128"/>
      <c r="G1004" s="128"/>
      <c r="H1004" s="168"/>
      <c r="I1004" s="373"/>
      <c r="P1004" s="16"/>
      <c r="Q1004" s="16"/>
      <c r="R1004" s="16"/>
      <c r="S1004" s="16"/>
      <c r="T1004" s="16"/>
      <c r="U1004" s="16"/>
      <c r="V1004" s="16"/>
      <c r="W1004" s="16"/>
    </row>
    <row r="1005" spans="1:23" s="9" customFormat="1" ht="30" customHeight="1">
      <c r="A1005" s="519" t="s">
        <v>367</v>
      </c>
      <c r="B1005" s="519"/>
      <c r="C1005" s="519"/>
      <c r="D1005" s="98">
        <v>200</v>
      </c>
      <c r="E1005" s="97">
        <v>0.2</v>
      </c>
      <c r="F1005" s="97">
        <v>0.1</v>
      </c>
      <c r="G1005" s="97">
        <v>21.5</v>
      </c>
      <c r="H1005" s="55">
        <f>G1005*4+F1005*9+E1005*4</f>
        <v>87.7</v>
      </c>
      <c r="I1005" s="259" t="s">
        <v>370</v>
      </c>
      <c r="P1005" s="16"/>
      <c r="Q1005" s="16"/>
      <c r="R1005" s="16"/>
      <c r="S1005" s="16"/>
      <c r="T1005" s="16"/>
      <c r="U1005" s="16"/>
      <c r="V1005" s="16"/>
      <c r="W1005" s="16"/>
    </row>
    <row r="1006" spans="1:23" s="80" customFormat="1" ht="30" customHeight="1">
      <c r="A1006" s="71" t="s">
        <v>390</v>
      </c>
      <c r="B1006" s="135">
        <f>C1006*1.06</f>
        <v>25.44</v>
      </c>
      <c r="C1006" s="63">
        <v>24</v>
      </c>
      <c r="D1006" s="102"/>
      <c r="E1006" s="136"/>
      <c r="F1006" s="136"/>
      <c r="G1006" s="136"/>
      <c r="H1006" s="147"/>
      <c r="I1006" s="384"/>
      <c r="J1006" s="9"/>
      <c r="M1006" s="9"/>
      <c r="N1006" s="9"/>
      <c r="O1006" s="9"/>
      <c r="P1006" s="16"/>
      <c r="Q1006" s="16"/>
      <c r="R1006" s="89"/>
      <c r="S1006" s="89"/>
      <c r="T1006" s="89"/>
      <c r="U1006" s="89"/>
      <c r="V1006" s="89"/>
      <c r="W1006" s="89"/>
    </row>
    <row r="1007" spans="1:23" s="80" customFormat="1" ht="30" customHeight="1">
      <c r="A1007" s="71" t="s">
        <v>358</v>
      </c>
      <c r="B1007" s="135">
        <f>C1007*1.06</f>
        <v>25.44</v>
      </c>
      <c r="C1007" s="63">
        <v>24</v>
      </c>
      <c r="D1007" s="102"/>
      <c r="E1007" s="136"/>
      <c r="F1007" s="136"/>
      <c r="G1007" s="136"/>
      <c r="H1007" s="147"/>
      <c r="I1007" s="384"/>
      <c r="J1007" s="126"/>
      <c r="M1007" s="9"/>
      <c r="N1007" s="9"/>
      <c r="O1007" s="9"/>
      <c r="P1007" s="16"/>
      <c r="Q1007" s="16"/>
      <c r="R1007" s="89"/>
      <c r="S1007" s="89"/>
      <c r="T1007" s="89"/>
      <c r="U1007" s="89"/>
      <c r="V1007" s="89"/>
      <c r="W1007" s="89"/>
    </row>
    <row r="1008" spans="1:23" s="80" customFormat="1" ht="30" customHeight="1">
      <c r="A1008" s="67" t="s">
        <v>4</v>
      </c>
      <c r="B1008" s="63">
        <v>15</v>
      </c>
      <c r="C1008" s="63">
        <v>15</v>
      </c>
      <c r="D1008" s="102"/>
      <c r="E1008" s="136"/>
      <c r="F1008" s="136"/>
      <c r="G1008" s="136"/>
      <c r="H1008" s="147"/>
      <c r="I1008" s="384"/>
      <c r="M1008" s="9"/>
      <c r="P1008" s="89"/>
      <c r="Q1008" s="89"/>
      <c r="R1008" s="89"/>
      <c r="S1008" s="89"/>
      <c r="T1008" s="89"/>
      <c r="U1008" s="89"/>
      <c r="V1008" s="89"/>
      <c r="W1008" s="89"/>
    </row>
    <row r="1009" spans="1:23" s="80" customFormat="1" ht="30" customHeight="1">
      <c r="A1009" s="67" t="s">
        <v>368</v>
      </c>
      <c r="B1009" s="63">
        <v>6</v>
      </c>
      <c r="C1009" s="63">
        <v>6</v>
      </c>
      <c r="D1009" s="102"/>
      <c r="E1009" s="136"/>
      <c r="F1009" s="136"/>
      <c r="G1009" s="136"/>
      <c r="H1009" s="147"/>
      <c r="I1009" s="384"/>
      <c r="J1009" s="9"/>
      <c r="M1009" s="9"/>
      <c r="N1009" s="9"/>
      <c r="O1009" s="9"/>
      <c r="P1009" s="16"/>
      <c r="Q1009" s="16"/>
      <c r="R1009" s="89"/>
      <c r="S1009" s="89"/>
      <c r="T1009" s="89"/>
      <c r="U1009" s="89"/>
      <c r="V1009" s="89"/>
      <c r="W1009" s="89"/>
    </row>
    <row r="1010" spans="1:23" s="9" customFormat="1" ht="30" customHeight="1">
      <c r="A1010" s="501" t="s">
        <v>27</v>
      </c>
      <c r="B1010" s="501"/>
      <c r="C1010" s="501"/>
      <c r="D1010" s="24">
        <v>70</v>
      </c>
      <c r="E1010" s="26">
        <v>3.2899999999999996</v>
      </c>
      <c r="F1010" s="26">
        <v>0.7</v>
      </c>
      <c r="G1010" s="26">
        <v>30.589999999999996</v>
      </c>
      <c r="H1010" s="30">
        <v>141.82000000000002</v>
      </c>
      <c r="I1010" s="374"/>
      <c r="P1010" s="16"/>
      <c r="Q1010" s="16"/>
      <c r="R1010" s="16"/>
      <c r="S1010" s="16"/>
      <c r="T1010" s="16"/>
      <c r="U1010" s="16"/>
      <c r="V1010" s="16"/>
      <c r="W1010" s="16"/>
    </row>
    <row r="1011" spans="1:23" s="9" customFormat="1" ht="30" customHeight="1">
      <c r="A1011" s="503" t="s">
        <v>80</v>
      </c>
      <c r="B1011" s="503"/>
      <c r="C1011" s="503"/>
      <c r="D1011" s="103">
        <v>70</v>
      </c>
      <c r="E1011" s="128"/>
      <c r="F1011" s="128"/>
      <c r="G1011" s="128"/>
      <c r="H1011" s="128"/>
      <c r="I1011" s="373"/>
      <c r="J1011" s="80"/>
      <c r="P1011" s="16"/>
      <c r="Q1011" s="16"/>
      <c r="R1011" s="16"/>
      <c r="S1011" s="16"/>
      <c r="T1011" s="16"/>
      <c r="U1011" s="16"/>
      <c r="V1011" s="16"/>
      <c r="W1011" s="16"/>
    </row>
    <row r="1012" spans="1:23" s="80" customFormat="1" ht="30" customHeight="1">
      <c r="A1012" s="434" t="s">
        <v>27</v>
      </c>
      <c r="B1012" s="111">
        <v>50</v>
      </c>
      <c r="C1012" s="111">
        <v>50</v>
      </c>
      <c r="D1012" s="54">
        <v>50</v>
      </c>
      <c r="E1012" s="56">
        <v>1.8</v>
      </c>
      <c r="F1012" s="56">
        <v>0.3</v>
      </c>
      <c r="G1012" s="56">
        <v>23.5</v>
      </c>
      <c r="H1012" s="55">
        <v>101.30000000000001</v>
      </c>
      <c r="I1012" s="374"/>
      <c r="M1012" s="9"/>
      <c r="N1012" s="9"/>
      <c r="O1012" s="9"/>
      <c r="P1012" s="16"/>
      <c r="Q1012" s="16"/>
      <c r="R1012" s="89"/>
      <c r="S1012" s="89"/>
      <c r="T1012" s="89"/>
      <c r="U1012" s="89"/>
      <c r="V1012" s="89"/>
      <c r="W1012" s="89"/>
    </row>
    <row r="1013" spans="1:23" s="80" customFormat="1" ht="30" customHeight="1">
      <c r="A1013" s="544" t="s">
        <v>24</v>
      </c>
      <c r="B1013" s="544"/>
      <c r="C1013" s="544"/>
      <c r="D1013" s="544"/>
      <c r="E1013" s="138">
        <f>E956+E939</f>
        <v>52.09</v>
      </c>
      <c r="F1013" s="138">
        <f>F956+F939</f>
        <v>56.60000000000001</v>
      </c>
      <c r="G1013" s="138">
        <f>G956+G939</f>
        <v>197.20428571428573</v>
      </c>
      <c r="H1013" s="138">
        <f>H956+H939</f>
        <v>1503.977142857143</v>
      </c>
      <c r="I1013" s="385"/>
      <c r="M1013" s="9"/>
      <c r="N1013" s="9"/>
      <c r="O1013" s="9"/>
      <c r="P1013" s="16"/>
      <c r="Q1013" s="16"/>
      <c r="R1013" s="89"/>
      <c r="S1013" s="89"/>
      <c r="T1013" s="89"/>
      <c r="U1013" s="89"/>
      <c r="V1013" s="89"/>
      <c r="W1013" s="89"/>
    </row>
    <row r="1014" spans="1:23" s="80" customFormat="1" ht="30" customHeight="1">
      <c r="A1014" s="510" t="s">
        <v>109</v>
      </c>
      <c r="B1014" s="510"/>
      <c r="C1014" s="510"/>
      <c r="D1014" s="510"/>
      <c r="E1014" s="510"/>
      <c r="F1014" s="510"/>
      <c r="G1014" s="510"/>
      <c r="H1014" s="510"/>
      <c r="I1014" s="510"/>
      <c r="J1014" s="9"/>
      <c r="M1014" s="9"/>
      <c r="N1014" s="9"/>
      <c r="O1014" s="9"/>
      <c r="P1014" s="16"/>
      <c r="Q1014" s="16"/>
      <c r="R1014" s="89"/>
      <c r="S1014" s="89"/>
      <c r="T1014" s="89"/>
      <c r="U1014" s="89"/>
      <c r="V1014" s="89"/>
      <c r="W1014" s="89"/>
    </row>
    <row r="1015" spans="1:23" s="9" customFormat="1" ht="30" customHeight="1">
      <c r="A1015" s="513" t="s">
        <v>0</v>
      </c>
      <c r="B1015" s="512" t="s">
        <v>6</v>
      </c>
      <c r="C1015" s="512" t="s">
        <v>7</v>
      </c>
      <c r="D1015" s="513" t="s">
        <v>5</v>
      </c>
      <c r="E1015" s="513"/>
      <c r="F1015" s="513"/>
      <c r="G1015" s="513"/>
      <c r="H1015" s="513"/>
      <c r="I1015" s="513"/>
      <c r="P1015" s="16"/>
      <c r="Q1015" s="16"/>
      <c r="R1015" s="16"/>
      <c r="S1015" s="16"/>
      <c r="T1015" s="16"/>
      <c r="U1015" s="16"/>
      <c r="V1015" s="16"/>
      <c r="W1015" s="16"/>
    </row>
    <row r="1016" spans="1:23" s="9" customFormat="1" ht="30" customHeight="1">
      <c r="A1016" s="513"/>
      <c r="B1016" s="512"/>
      <c r="C1016" s="512"/>
      <c r="D1016" s="419" t="s">
        <v>8</v>
      </c>
      <c r="E1016" s="418" t="s">
        <v>1</v>
      </c>
      <c r="F1016" s="418" t="s">
        <v>2</v>
      </c>
      <c r="G1016" s="418" t="s">
        <v>9</v>
      </c>
      <c r="H1016" s="417" t="s">
        <v>3</v>
      </c>
      <c r="I1016" s="420" t="s">
        <v>211</v>
      </c>
      <c r="N1016" s="80"/>
      <c r="O1016" s="80"/>
      <c r="P1016" s="89"/>
      <c r="Q1016" s="89"/>
      <c r="R1016" s="16"/>
      <c r="S1016" s="16"/>
      <c r="T1016" s="16"/>
      <c r="U1016" s="16"/>
      <c r="V1016" s="16"/>
      <c r="W1016" s="16"/>
    </row>
    <row r="1017" spans="1:23" s="80" customFormat="1" ht="30" customHeight="1">
      <c r="A1017" s="516" t="s">
        <v>112</v>
      </c>
      <c r="B1017" s="516"/>
      <c r="C1017" s="516"/>
      <c r="D1017" s="140">
        <f>D1018+D1044+D1058+D1059</f>
        <v>650</v>
      </c>
      <c r="E1017" s="127">
        <f>E1018+E1044+E1058+E1059</f>
        <v>13.799999999999999</v>
      </c>
      <c r="F1017" s="127">
        <f>F1018+F1044+F1058+F1059</f>
        <v>17</v>
      </c>
      <c r="G1017" s="127">
        <f>G1018+G1044+G1058+G1059</f>
        <v>89.5</v>
      </c>
      <c r="H1017" s="127">
        <f>H1018+H1044+H1058+H1059</f>
        <v>570.8</v>
      </c>
      <c r="I1017" s="372"/>
      <c r="J1017" s="9"/>
      <c r="M1017" s="9"/>
      <c r="N1017" s="9"/>
      <c r="O1017" s="9"/>
      <c r="P1017" s="16"/>
      <c r="Q1017" s="16"/>
      <c r="R1017" s="89"/>
      <c r="S1017" s="89"/>
      <c r="T1017" s="89"/>
      <c r="U1017" s="89"/>
      <c r="V1017" s="89"/>
      <c r="W1017" s="89"/>
    </row>
    <row r="1018" spans="1:23" s="80" customFormat="1" ht="30" customHeight="1">
      <c r="A1018" s="507" t="s">
        <v>357</v>
      </c>
      <c r="B1018" s="507"/>
      <c r="C1018" s="507"/>
      <c r="D1018" s="22">
        <v>200</v>
      </c>
      <c r="E1018" s="56">
        <v>7.8</v>
      </c>
      <c r="F1018" s="56">
        <v>8.9</v>
      </c>
      <c r="G1018" s="56">
        <v>35.1</v>
      </c>
      <c r="H1018" s="55">
        <f>G1018*4+F1018*9+E1018*4</f>
        <v>251.7</v>
      </c>
      <c r="I1018" s="374" t="s">
        <v>356</v>
      </c>
      <c r="J1018" s="9"/>
      <c r="M1018" s="9"/>
      <c r="P1018" s="89"/>
      <c r="Q1018" s="89"/>
      <c r="R1018" s="89"/>
      <c r="S1018" s="89"/>
      <c r="T1018" s="89"/>
      <c r="U1018" s="89"/>
      <c r="V1018" s="89"/>
      <c r="W1018" s="89"/>
    </row>
    <row r="1019" spans="1:23" s="80" customFormat="1" ht="30" customHeight="1">
      <c r="A1019" s="72" t="s">
        <v>23</v>
      </c>
      <c r="B1019" s="198">
        <v>15</v>
      </c>
      <c r="C1019" s="198">
        <v>15</v>
      </c>
      <c r="D1019" s="5"/>
      <c r="E1019" s="128"/>
      <c r="F1019" s="128"/>
      <c r="G1019" s="128"/>
      <c r="H1019" s="168"/>
      <c r="I1019" s="375"/>
      <c r="J1019" s="9"/>
      <c r="M1019" s="9"/>
      <c r="P1019" s="89"/>
      <c r="Q1019" s="89"/>
      <c r="R1019" s="89"/>
      <c r="S1019" s="89"/>
      <c r="T1019" s="89"/>
      <c r="U1019" s="89"/>
      <c r="V1019" s="89"/>
      <c r="W1019" s="89"/>
    </row>
    <row r="1020" spans="1:23" s="9" customFormat="1" ht="30" customHeight="1">
      <c r="A1020" s="72" t="s">
        <v>355</v>
      </c>
      <c r="B1020" s="198">
        <v>11</v>
      </c>
      <c r="C1020" s="198">
        <v>11</v>
      </c>
      <c r="D1020" s="5"/>
      <c r="E1020" s="128"/>
      <c r="F1020" s="128"/>
      <c r="G1020" s="128"/>
      <c r="H1020" s="168"/>
      <c r="I1020" s="375"/>
      <c r="N1020" s="80"/>
      <c r="O1020" s="80"/>
      <c r="P1020" s="89"/>
      <c r="Q1020" s="89"/>
      <c r="R1020" s="16"/>
      <c r="S1020" s="16"/>
      <c r="T1020" s="16"/>
      <c r="U1020" s="16"/>
      <c r="V1020" s="16"/>
      <c r="W1020" s="16"/>
    </row>
    <row r="1021" spans="1:23" s="80" customFormat="1" ht="30" customHeight="1">
      <c r="A1021" s="71" t="s">
        <v>4</v>
      </c>
      <c r="B1021" s="198">
        <v>6</v>
      </c>
      <c r="C1021" s="198">
        <v>6</v>
      </c>
      <c r="D1021" s="5"/>
      <c r="E1021" s="128"/>
      <c r="F1021" s="128"/>
      <c r="G1021" s="128"/>
      <c r="H1021" s="168"/>
      <c r="I1021" s="375"/>
      <c r="J1021" s="9"/>
      <c r="M1021" s="9"/>
      <c r="P1021" s="89"/>
      <c r="Q1021" s="89"/>
      <c r="R1021" s="89"/>
      <c r="S1021" s="89"/>
      <c r="T1021" s="89"/>
      <c r="U1021" s="89"/>
      <c r="V1021" s="89"/>
      <c r="W1021" s="89"/>
    </row>
    <row r="1022" spans="1:23" s="80" customFormat="1" ht="30" customHeight="1">
      <c r="A1022" s="71" t="s">
        <v>56</v>
      </c>
      <c r="B1022" s="198">
        <v>172</v>
      </c>
      <c r="C1022" s="198">
        <v>172</v>
      </c>
      <c r="D1022" s="5"/>
      <c r="E1022" s="128"/>
      <c r="F1022" s="128"/>
      <c r="G1022" s="128"/>
      <c r="H1022" s="168"/>
      <c r="I1022" s="375"/>
      <c r="J1022" s="9"/>
      <c r="M1022" s="9"/>
      <c r="P1022" s="89"/>
      <c r="Q1022" s="89"/>
      <c r="R1022" s="89"/>
      <c r="S1022" s="89"/>
      <c r="T1022" s="89"/>
      <c r="U1022" s="89"/>
      <c r="V1022" s="89"/>
      <c r="W1022" s="89"/>
    </row>
    <row r="1023" spans="1:13" s="80" customFormat="1" ht="30" customHeight="1">
      <c r="A1023" s="238" t="s">
        <v>41</v>
      </c>
      <c r="B1023" s="239">
        <f>B1022*460/1000</f>
        <v>79.12</v>
      </c>
      <c r="C1023" s="239">
        <f>C1022*460/1000</f>
        <v>79.12</v>
      </c>
      <c r="D1023" s="194"/>
      <c r="E1023" s="56"/>
      <c r="F1023" s="56"/>
      <c r="G1023" s="56"/>
      <c r="H1023" s="55"/>
      <c r="I1023" s="375"/>
      <c r="J1023" s="9"/>
      <c r="M1023" s="9"/>
    </row>
    <row r="1024" spans="1:17" s="80" customFormat="1" ht="30" customHeight="1">
      <c r="A1024" s="238" t="s">
        <v>42</v>
      </c>
      <c r="B1024" s="239">
        <f>B1022*120/1000</f>
        <v>20.64</v>
      </c>
      <c r="C1024" s="239">
        <f>C1022*120/1000</f>
        <v>20.64</v>
      </c>
      <c r="D1024" s="194"/>
      <c r="E1024" s="56"/>
      <c r="F1024" s="56"/>
      <c r="G1024" s="56"/>
      <c r="H1024" s="55"/>
      <c r="I1024" s="375"/>
      <c r="J1024" s="9"/>
      <c r="M1024" s="9"/>
      <c r="N1024" s="9"/>
      <c r="O1024" s="9"/>
      <c r="P1024" s="9"/>
      <c r="Q1024" s="9"/>
    </row>
    <row r="1025" spans="1:9" s="9" customFormat="1" ht="30" customHeight="1">
      <c r="A1025" s="230" t="s">
        <v>156</v>
      </c>
      <c r="B1025" s="240">
        <f>B1022-B1023</f>
        <v>92.88</v>
      </c>
      <c r="C1025" s="240">
        <f>C1022-C1023</f>
        <v>92.88</v>
      </c>
      <c r="D1025" s="232"/>
      <c r="E1025" s="233"/>
      <c r="F1025" s="233"/>
      <c r="G1025" s="233"/>
      <c r="H1025" s="234"/>
      <c r="I1025" s="376"/>
    </row>
    <row r="1026" spans="1:9" s="9" customFormat="1" ht="30" customHeight="1">
      <c r="A1026" s="230" t="s">
        <v>157</v>
      </c>
      <c r="B1026" s="240">
        <f>B1022-B1024</f>
        <v>151.36</v>
      </c>
      <c r="C1026" s="240">
        <f>C1022-C1024</f>
        <v>151.36</v>
      </c>
      <c r="D1026" s="232"/>
      <c r="E1026" s="233"/>
      <c r="F1026" s="233"/>
      <c r="G1026" s="233"/>
      <c r="H1026" s="234"/>
      <c r="I1026" s="376"/>
    </row>
    <row r="1027" spans="1:10" s="9" customFormat="1" ht="30" customHeight="1">
      <c r="A1027" s="238" t="s">
        <v>57</v>
      </c>
      <c r="B1027" s="239">
        <v>1</v>
      </c>
      <c r="C1027" s="239">
        <v>1</v>
      </c>
      <c r="D1027" s="232"/>
      <c r="E1027" s="233"/>
      <c r="F1027" s="233"/>
      <c r="G1027" s="233"/>
      <c r="H1027" s="234"/>
      <c r="I1027" s="376"/>
      <c r="J1027" s="126"/>
    </row>
    <row r="1028" spans="1:17" s="9" customFormat="1" ht="30" customHeight="1">
      <c r="A1028" s="72" t="s">
        <v>19</v>
      </c>
      <c r="B1028" s="241">
        <v>5</v>
      </c>
      <c r="C1028" s="241">
        <v>5</v>
      </c>
      <c r="D1028" s="5"/>
      <c r="E1028" s="128"/>
      <c r="F1028" s="128"/>
      <c r="G1028" s="128"/>
      <c r="H1028" s="168"/>
      <c r="I1028" s="375"/>
      <c r="K1028" s="1" t="s">
        <v>53</v>
      </c>
      <c r="N1028" s="80"/>
      <c r="O1028" s="80"/>
      <c r="P1028" s="80"/>
      <c r="Q1028" s="80"/>
    </row>
    <row r="1029" spans="1:17" s="9" customFormat="1" ht="30" customHeight="1">
      <c r="A1029" s="506" t="s">
        <v>76</v>
      </c>
      <c r="B1029" s="506"/>
      <c r="C1029" s="506"/>
      <c r="D1029" s="506"/>
      <c r="E1029" s="506"/>
      <c r="F1029" s="506"/>
      <c r="G1029" s="506"/>
      <c r="H1029" s="506"/>
      <c r="I1029" s="506"/>
      <c r="K1029" s="347" t="s">
        <v>176</v>
      </c>
      <c r="L1029" s="9">
        <f>D1124</f>
        <v>50</v>
      </c>
      <c r="N1029" s="80"/>
      <c r="O1029" s="80"/>
      <c r="P1029" s="80"/>
      <c r="Q1029" s="80"/>
    </row>
    <row r="1030" spans="1:17" s="9" customFormat="1" ht="30" customHeight="1">
      <c r="A1030" s="507" t="s">
        <v>225</v>
      </c>
      <c r="B1030" s="507"/>
      <c r="C1030" s="507"/>
      <c r="D1030" s="22">
        <v>200</v>
      </c>
      <c r="E1030" s="56">
        <v>8.3</v>
      </c>
      <c r="F1030" s="56">
        <v>9.6</v>
      </c>
      <c r="G1030" s="56">
        <v>30.8</v>
      </c>
      <c r="H1030" s="55">
        <f>G1030*4+F1030*9+E1030*4</f>
        <v>242.8</v>
      </c>
      <c r="I1030" s="259" t="s">
        <v>227</v>
      </c>
      <c r="J1030" s="80"/>
      <c r="K1030" s="347" t="s">
        <v>136</v>
      </c>
      <c r="L1030" s="18">
        <f>D1122</f>
        <v>40</v>
      </c>
      <c r="N1030" s="80"/>
      <c r="O1030" s="80"/>
      <c r="P1030" s="80"/>
      <c r="Q1030" s="80"/>
    </row>
    <row r="1031" spans="1:17" s="9" customFormat="1" ht="30" customHeight="1">
      <c r="A1031" s="72" t="s">
        <v>155</v>
      </c>
      <c r="B1031" s="198">
        <v>40</v>
      </c>
      <c r="C1031" s="198">
        <v>40</v>
      </c>
      <c r="D1031" s="5"/>
      <c r="E1031" s="128"/>
      <c r="F1031" s="128"/>
      <c r="G1031" s="128"/>
      <c r="H1031" s="168"/>
      <c r="I1031" s="373"/>
      <c r="K1031" s="105" t="s">
        <v>162</v>
      </c>
      <c r="L1031" s="18">
        <f>C1105+C1110+C1045</f>
        <v>61.3</v>
      </c>
      <c r="N1031" s="80"/>
      <c r="O1031" s="80"/>
      <c r="P1031" s="80"/>
      <c r="Q1031" s="80"/>
    </row>
    <row r="1032" spans="1:17" s="9" customFormat="1" ht="30" customHeight="1">
      <c r="A1032" s="71" t="s">
        <v>56</v>
      </c>
      <c r="B1032" s="198">
        <v>130</v>
      </c>
      <c r="C1032" s="198">
        <v>130</v>
      </c>
      <c r="D1032" s="5"/>
      <c r="E1032" s="128"/>
      <c r="F1032" s="128"/>
      <c r="G1032" s="128"/>
      <c r="H1032" s="168"/>
      <c r="I1032" s="373"/>
      <c r="J1032" s="80"/>
      <c r="K1032" s="347" t="s">
        <v>72</v>
      </c>
      <c r="L1032" s="18">
        <f>C1114+C1019+C1020</f>
        <v>71</v>
      </c>
      <c r="N1032" s="80"/>
      <c r="O1032" s="80"/>
      <c r="P1032" s="80"/>
      <c r="Q1032" s="80"/>
    </row>
    <row r="1033" spans="1:12" s="9" customFormat="1" ht="30" customHeight="1">
      <c r="A1033" s="238" t="s">
        <v>41</v>
      </c>
      <c r="B1033" s="239">
        <f>B1032*460/1000</f>
        <v>59.8</v>
      </c>
      <c r="C1033" s="239">
        <f>C1032*460/1000</f>
        <v>59.8</v>
      </c>
      <c r="D1033" s="194"/>
      <c r="E1033" s="56"/>
      <c r="F1033" s="56"/>
      <c r="G1033" s="56"/>
      <c r="H1033" s="55"/>
      <c r="I1033" s="373"/>
      <c r="J1033" s="80"/>
      <c r="K1033" s="347" t="s">
        <v>177</v>
      </c>
      <c r="L1033" s="81"/>
    </row>
    <row r="1034" spans="1:13" s="80" customFormat="1" ht="30" customHeight="1">
      <c r="A1034" s="238" t="s">
        <v>42</v>
      </c>
      <c r="B1034" s="239">
        <f>B1032*120/1000</f>
        <v>15.6</v>
      </c>
      <c r="C1034" s="239">
        <f>C1032*120/1000</f>
        <v>15.6</v>
      </c>
      <c r="D1034" s="194"/>
      <c r="E1034" s="56"/>
      <c r="F1034" s="56"/>
      <c r="G1034" s="56"/>
      <c r="H1034" s="55"/>
      <c r="I1034" s="373"/>
      <c r="K1034" s="105" t="s">
        <v>28</v>
      </c>
      <c r="L1034" s="18">
        <f>C1064+C1093</f>
        <v>95</v>
      </c>
      <c r="M1034" s="9"/>
    </row>
    <row r="1035" spans="1:17" s="9" customFormat="1" ht="30" customHeight="1">
      <c r="A1035" s="230" t="s">
        <v>156</v>
      </c>
      <c r="B1035" s="240">
        <f>B1032-B1033</f>
        <v>70.2</v>
      </c>
      <c r="C1035" s="240">
        <f>C1032-C1033</f>
        <v>70.2</v>
      </c>
      <c r="D1035" s="232"/>
      <c r="E1035" s="233"/>
      <c r="F1035" s="233"/>
      <c r="G1035" s="233"/>
      <c r="H1035" s="234"/>
      <c r="I1035" s="377"/>
      <c r="J1035" s="80"/>
      <c r="K1035" s="347" t="s">
        <v>353</v>
      </c>
      <c r="L1035" s="18">
        <f>C1068+C1070+C1072++C1073+C1097+C1099+C1102</f>
        <v>122.2</v>
      </c>
      <c r="N1035" s="80"/>
      <c r="O1035" s="80"/>
      <c r="P1035" s="80"/>
      <c r="Q1035" s="80"/>
    </row>
    <row r="1036" spans="1:12" s="9" customFormat="1" ht="30" customHeight="1">
      <c r="A1036" s="230" t="s">
        <v>157</v>
      </c>
      <c r="B1036" s="240">
        <f>B1032-B1034</f>
        <v>114.4</v>
      </c>
      <c r="C1036" s="240">
        <f>C1032-C1034</f>
        <v>114.4</v>
      </c>
      <c r="D1036" s="232"/>
      <c r="E1036" s="233"/>
      <c r="F1036" s="233"/>
      <c r="G1036" s="233"/>
      <c r="H1036" s="234"/>
      <c r="I1036" s="377"/>
      <c r="J1036" s="80"/>
      <c r="K1036" s="105" t="s">
        <v>29</v>
      </c>
      <c r="L1036" s="9">
        <f>D1058</f>
        <v>160</v>
      </c>
    </row>
    <row r="1037" spans="1:12" s="9" customFormat="1" ht="30" customHeight="1">
      <c r="A1037" s="238" t="s">
        <v>228</v>
      </c>
      <c r="B1037" s="240"/>
      <c r="C1037" s="239">
        <v>155</v>
      </c>
      <c r="D1037" s="232"/>
      <c r="E1037" s="233"/>
      <c r="F1037" s="233"/>
      <c r="G1037" s="233"/>
      <c r="H1037" s="234"/>
      <c r="I1037" s="377"/>
      <c r="K1037" s="105" t="s">
        <v>178</v>
      </c>
      <c r="L1037" s="18"/>
    </row>
    <row r="1038" spans="1:12" s="9" customFormat="1" ht="30" customHeight="1">
      <c r="A1038" s="238" t="s">
        <v>229</v>
      </c>
      <c r="B1038" s="240"/>
      <c r="C1038" s="239">
        <v>25</v>
      </c>
      <c r="D1038" s="232"/>
      <c r="E1038" s="233"/>
      <c r="F1038" s="233"/>
      <c r="G1038" s="233"/>
      <c r="H1038" s="234"/>
      <c r="I1038" s="377"/>
      <c r="K1038" s="347" t="s">
        <v>354</v>
      </c>
      <c r="L1038" s="18">
        <f>C1021+C1061</f>
        <v>18</v>
      </c>
    </row>
    <row r="1039" spans="1:12" s="9" customFormat="1" ht="30" customHeight="1">
      <c r="A1039" s="71" t="s">
        <v>4</v>
      </c>
      <c r="B1039" s="198">
        <v>5</v>
      </c>
      <c r="C1039" s="198">
        <v>5</v>
      </c>
      <c r="D1039" s="5"/>
      <c r="E1039" s="128"/>
      <c r="F1039" s="128"/>
      <c r="G1039" s="128"/>
      <c r="H1039" s="168"/>
      <c r="I1039" s="373"/>
      <c r="J1039" s="7"/>
      <c r="K1039" s="347" t="s">
        <v>395</v>
      </c>
      <c r="L1039" s="1">
        <f>C1117</f>
        <v>200</v>
      </c>
    </row>
    <row r="1040" spans="1:12" s="9" customFormat="1" ht="30" customHeight="1">
      <c r="A1040" s="71" t="s">
        <v>69</v>
      </c>
      <c r="B1040" s="198">
        <v>25</v>
      </c>
      <c r="C1040" s="198">
        <v>25</v>
      </c>
      <c r="D1040" s="5"/>
      <c r="E1040" s="128"/>
      <c r="F1040" s="128"/>
      <c r="G1040" s="128"/>
      <c r="H1040" s="168"/>
      <c r="I1040" s="373"/>
      <c r="J1040" s="126"/>
      <c r="K1040" s="105" t="s">
        <v>31</v>
      </c>
      <c r="L1040" s="121"/>
    </row>
    <row r="1041" spans="1:12" s="9" customFormat="1" ht="30" customHeight="1">
      <c r="A1041" s="71" t="s">
        <v>348</v>
      </c>
      <c r="B1041" s="334">
        <f>C1041*1.76</f>
        <v>35.2</v>
      </c>
      <c r="C1041" s="198">
        <v>20</v>
      </c>
      <c r="D1041" s="5"/>
      <c r="E1041" s="128"/>
      <c r="F1041" s="128"/>
      <c r="G1041" s="128"/>
      <c r="H1041" s="168"/>
      <c r="I1041" s="373"/>
      <c r="K1041" s="105" t="s">
        <v>77</v>
      </c>
      <c r="L1041" s="91">
        <f>C1050</f>
        <v>0.45</v>
      </c>
    </row>
    <row r="1042" spans="1:12" s="9" customFormat="1" ht="30" customHeight="1">
      <c r="A1042" s="71" t="s">
        <v>230</v>
      </c>
      <c r="B1042" s="198"/>
      <c r="C1042" s="198">
        <v>44</v>
      </c>
      <c r="D1042" s="5"/>
      <c r="E1042" s="128"/>
      <c r="F1042" s="128"/>
      <c r="G1042" s="128"/>
      <c r="H1042" s="168"/>
      <c r="I1042" s="373"/>
      <c r="K1042" s="347" t="s">
        <v>39</v>
      </c>
      <c r="L1042" s="82"/>
    </row>
    <row r="1043" spans="1:13" s="80" customFormat="1" ht="30" customHeight="1">
      <c r="A1043" s="72" t="s">
        <v>19</v>
      </c>
      <c r="B1043" s="241">
        <v>5</v>
      </c>
      <c r="C1043" s="241">
        <v>5</v>
      </c>
      <c r="D1043" s="5"/>
      <c r="E1043" s="128"/>
      <c r="F1043" s="128"/>
      <c r="G1043" s="128"/>
      <c r="H1043" s="168"/>
      <c r="I1043" s="373"/>
      <c r="J1043" s="9"/>
      <c r="K1043" s="105" t="s">
        <v>179</v>
      </c>
      <c r="L1043" s="9"/>
      <c r="M1043" s="9"/>
    </row>
    <row r="1044" spans="1:17" s="9" customFormat="1" ht="30" customHeight="1">
      <c r="A1044" s="504" t="s">
        <v>521</v>
      </c>
      <c r="B1044" s="504"/>
      <c r="C1044" s="504"/>
      <c r="D1044" s="24">
        <v>90</v>
      </c>
      <c r="E1044" s="26">
        <v>5.4</v>
      </c>
      <c r="F1044" s="26">
        <v>8</v>
      </c>
      <c r="G1044" s="26">
        <v>27.5</v>
      </c>
      <c r="H1044" s="30">
        <f>E1044*4+F1044*9+G1044*4</f>
        <v>203.6</v>
      </c>
      <c r="I1044" s="259" t="s">
        <v>522</v>
      </c>
      <c r="J1044" s="80"/>
      <c r="K1044" s="105" t="s">
        <v>32</v>
      </c>
      <c r="L1044" s="6">
        <f>C1060</f>
        <v>2</v>
      </c>
      <c r="N1044" s="80"/>
      <c r="O1044" s="80"/>
      <c r="P1044" s="80"/>
      <c r="Q1044" s="80"/>
    </row>
    <row r="1045" spans="1:12" s="9" customFormat="1" ht="30" customHeight="1">
      <c r="A1045" s="67" t="s">
        <v>21</v>
      </c>
      <c r="B1045" s="45">
        <v>54</v>
      </c>
      <c r="C1045" s="45">
        <v>54</v>
      </c>
      <c r="D1045" s="45"/>
      <c r="E1045" s="491"/>
      <c r="F1045" s="491"/>
      <c r="G1045" s="491"/>
      <c r="H1045" s="492"/>
      <c r="I1045" s="259"/>
      <c r="K1045" s="105" t="s">
        <v>180</v>
      </c>
      <c r="L1045" s="6"/>
    </row>
    <row r="1046" spans="1:17" s="80" customFormat="1" ht="30" customHeight="1">
      <c r="A1046" s="67" t="s">
        <v>288</v>
      </c>
      <c r="B1046" s="45">
        <v>19</v>
      </c>
      <c r="C1046" s="45">
        <v>18</v>
      </c>
      <c r="D1046" s="45"/>
      <c r="E1046" s="491"/>
      <c r="F1046" s="491"/>
      <c r="G1046" s="491"/>
      <c r="H1046" s="492"/>
      <c r="I1046" s="259"/>
      <c r="J1046" s="9"/>
      <c r="K1046" s="347" t="s">
        <v>182</v>
      </c>
      <c r="L1046" s="91">
        <f>C1087</f>
        <v>26</v>
      </c>
      <c r="M1046" s="9"/>
      <c r="N1046" s="9"/>
      <c r="O1046" s="9"/>
      <c r="P1046" s="9"/>
      <c r="Q1046" s="9"/>
    </row>
    <row r="1047" spans="1:17" s="80" customFormat="1" ht="30" customHeight="1">
      <c r="A1047" s="67" t="s">
        <v>19</v>
      </c>
      <c r="B1047" s="45">
        <v>27</v>
      </c>
      <c r="C1047" s="45">
        <v>27</v>
      </c>
      <c r="D1047" s="45"/>
      <c r="E1047" s="491"/>
      <c r="F1047" s="49"/>
      <c r="G1047" s="49"/>
      <c r="H1047" s="45"/>
      <c r="I1047" s="259"/>
      <c r="J1047" s="9"/>
      <c r="K1047" s="105" t="s">
        <v>181</v>
      </c>
      <c r="L1047" s="91">
        <f>C1104</f>
        <v>121</v>
      </c>
      <c r="M1047" s="9"/>
      <c r="N1047" s="9"/>
      <c r="O1047" s="9"/>
      <c r="P1047" s="9"/>
      <c r="Q1047" s="9"/>
    </row>
    <row r="1048" spans="1:13" s="80" customFormat="1" ht="30" customHeight="1">
      <c r="A1048" s="67" t="s">
        <v>62</v>
      </c>
      <c r="B1048" s="45">
        <v>9</v>
      </c>
      <c r="C1048" s="45">
        <v>9</v>
      </c>
      <c r="D1048" s="45"/>
      <c r="E1048" s="491"/>
      <c r="F1048" s="49"/>
      <c r="G1048" s="49"/>
      <c r="H1048" s="45"/>
      <c r="I1048" s="259"/>
      <c r="J1048" s="9"/>
      <c r="K1048" s="347" t="s">
        <v>183</v>
      </c>
      <c r="L1048" s="91"/>
      <c r="M1048" s="9"/>
    </row>
    <row r="1049" spans="1:17" s="9" customFormat="1" ht="30" customHeight="1">
      <c r="A1049" s="64" t="s">
        <v>471</v>
      </c>
      <c r="B1049" s="49">
        <v>1.8</v>
      </c>
      <c r="C1049" s="49">
        <v>1.8</v>
      </c>
      <c r="D1049" s="49"/>
      <c r="E1049" s="491"/>
      <c r="F1049" s="49"/>
      <c r="G1049" s="49"/>
      <c r="H1049" s="45"/>
      <c r="I1049" s="259"/>
      <c r="K1049" s="352" t="s">
        <v>184</v>
      </c>
      <c r="L1049" s="6">
        <f>C1022+C1051</f>
        <v>175.6</v>
      </c>
      <c r="N1049" s="80"/>
      <c r="O1049" s="80"/>
      <c r="P1049" s="80"/>
      <c r="Q1049" s="80"/>
    </row>
    <row r="1050" spans="1:13" s="80" customFormat="1" ht="30" customHeight="1">
      <c r="A1050" s="64" t="s">
        <v>472</v>
      </c>
      <c r="B1050" s="49">
        <f>B1049*0.25</f>
        <v>0.45</v>
      </c>
      <c r="C1050" s="49">
        <f>C1049*0.25</f>
        <v>0.45</v>
      </c>
      <c r="D1050" s="45"/>
      <c r="E1050" s="491"/>
      <c r="F1050" s="49"/>
      <c r="G1050" s="49"/>
      <c r="H1050" s="45"/>
      <c r="I1050" s="259"/>
      <c r="J1050" s="9"/>
      <c r="K1050" s="352" t="s">
        <v>185</v>
      </c>
      <c r="L1050" s="6"/>
      <c r="M1050" s="9"/>
    </row>
    <row r="1051" spans="1:17" s="9" customFormat="1" ht="30" customHeight="1">
      <c r="A1051" s="67" t="s">
        <v>56</v>
      </c>
      <c r="B1051" s="49">
        <v>3.6</v>
      </c>
      <c r="C1051" s="49">
        <v>3.6</v>
      </c>
      <c r="D1051" s="49"/>
      <c r="E1051" s="491"/>
      <c r="F1051" s="491"/>
      <c r="G1051" s="491"/>
      <c r="H1051" s="492"/>
      <c r="I1051" s="259"/>
      <c r="K1051" s="347" t="s">
        <v>186</v>
      </c>
      <c r="L1051" s="187"/>
      <c r="N1051" s="80"/>
      <c r="O1051" s="80"/>
      <c r="P1051" s="80"/>
      <c r="Q1051" s="80"/>
    </row>
    <row r="1052" spans="1:17" s="80" customFormat="1" ht="30" customHeight="1">
      <c r="A1052" s="238" t="s">
        <v>41</v>
      </c>
      <c r="B1052" s="239">
        <f>B1051*460/1000</f>
        <v>1.656</v>
      </c>
      <c r="C1052" s="239">
        <f>C1051*460/1000</f>
        <v>1.656</v>
      </c>
      <c r="D1052" s="194"/>
      <c r="E1052" s="56"/>
      <c r="F1052" s="56"/>
      <c r="G1052" s="56"/>
      <c r="H1052" s="55"/>
      <c r="I1052" s="373"/>
      <c r="J1052" s="9"/>
      <c r="K1052" s="347" t="s">
        <v>187</v>
      </c>
      <c r="L1052" s="6">
        <f>C1109+C1048</f>
        <v>21.5</v>
      </c>
      <c r="M1052" s="9"/>
      <c r="N1052" s="9"/>
      <c r="O1052" s="9"/>
      <c r="P1052" s="9"/>
      <c r="Q1052" s="9"/>
    </row>
    <row r="1053" spans="1:17" s="80" customFormat="1" ht="30" customHeight="1">
      <c r="A1053" s="238" t="s">
        <v>42</v>
      </c>
      <c r="B1053" s="500">
        <f>B1051*120/1000</f>
        <v>0.432</v>
      </c>
      <c r="C1053" s="500">
        <f>C1051*120/1000</f>
        <v>0.432</v>
      </c>
      <c r="D1053" s="194"/>
      <c r="E1053" s="56"/>
      <c r="F1053" s="56"/>
      <c r="G1053" s="56"/>
      <c r="H1053" s="55"/>
      <c r="I1053" s="373"/>
      <c r="K1053" s="347" t="s">
        <v>188</v>
      </c>
      <c r="L1053" s="6">
        <f>C1046</f>
        <v>18</v>
      </c>
      <c r="M1053" s="9"/>
      <c r="N1053" s="155"/>
      <c r="O1053" s="155"/>
      <c r="P1053" s="155"/>
      <c r="Q1053" s="155"/>
    </row>
    <row r="1054" spans="1:17" s="80" customFormat="1" ht="30" customHeight="1">
      <c r="A1054" s="230" t="s">
        <v>156</v>
      </c>
      <c r="B1054" s="240">
        <f>B1051-B1052</f>
        <v>1.9440000000000002</v>
      </c>
      <c r="C1054" s="240">
        <f>C1051-C1052</f>
        <v>1.9440000000000002</v>
      </c>
      <c r="D1054" s="232"/>
      <c r="E1054" s="233"/>
      <c r="F1054" s="233"/>
      <c r="G1054" s="233"/>
      <c r="H1054" s="234"/>
      <c r="I1054" s="377"/>
      <c r="K1054" s="352" t="s">
        <v>33</v>
      </c>
      <c r="L1054" s="6">
        <f>++C1100+C1116+C1112+C1028+C1047</f>
        <v>44.3</v>
      </c>
      <c r="M1054" s="9"/>
      <c r="N1054" s="9"/>
      <c r="O1054" s="9"/>
      <c r="P1054" s="9"/>
      <c r="Q1054" s="9"/>
    </row>
    <row r="1055" spans="1:13" s="80" customFormat="1" ht="30" customHeight="1">
      <c r="A1055" s="230" t="s">
        <v>157</v>
      </c>
      <c r="B1055" s="240">
        <f>B1051-B1053</f>
        <v>3.168</v>
      </c>
      <c r="C1055" s="240">
        <f>C1051-C1053</f>
        <v>3.168</v>
      </c>
      <c r="D1055" s="232"/>
      <c r="E1055" s="233"/>
      <c r="F1055" s="233"/>
      <c r="G1055" s="233"/>
      <c r="H1055" s="234"/>
      <c r="I1055" s="377"/>
      <c r="K1055" s="105" t="s">
        <v>34</v>
      </c>
      <c r="L1055" s="6">
        <f>+C1074+C1106+C1057</f>
        <v>10.5</v>
      </c>
      <c r="M1055" s="9"/>
    </row>
    <row r="1056" spans="1:13" s="80" customFormat="1" ht="30" customHeight="1">
      <c r="A1056" s="67" t="s">
        <v>473</v>
      </c>
      <c r="B1056" s="49">
        <v>4.5</v>
      </c>
      <c r="C1056" s="49">
        <v>4.5</v>
      </c>
      <c r="D1056" s="49"/>
      <c r="E1056" s="491"/>
      <c r="F1056" s="491"/>
      <c r="G1056" s="491"/>
      <c r="H1056" s="492"/>
      <c r="I1056" s="259"/>
      <c r="J1056" s="9"/>
      <c r="K1056" s="105" t="s">
        <v>189</v>
      </c>
      <c r="L1056" s="6">
        <f>C1101+C1056</f>
        <v>14.5</v>
      </c>
      <c r="M1056" s="9"/>
    </row>
    <row r="1057" spans="1:13" s="80" customFormat="1" ht="30" customHeight="1">
      <c r="A1057" s="71" t="s">
        <v>166</v>
      </c>
      <c r="B1057" s="49">
        <v>0.5</v>
      </c>
      <c r="C1057" s="49">
        <v>0.5</v>
      </c>
      <c r="D1057" s="492"/>
      <c r="E1057" s="491"/>
      <c r="F1057" s="491"/>
      <c r="G1057" s="491"/>
      <c r="H1057" s="492"/>
      <c r="I1057" s="259"/>
      <c r="J1057" s="9"/>
      <c r="K1057" s="105" t="s">
        <v>369</v>
      </c>
      <c r="M1057" s="9"/>
    </row>
    <row r="1058" spans="1:13" s="80" customFormat="1" ht="30" customHeight="1">
      <c r="A1058" s="502" t="s">
        <v>97</v>
      </c>
      <c r="B1058" s="502"/>
      <c r="C1058" s="502"/>
      <c r="D1058" s="31">
        <v>160</v>
      </c>
      <c r="E1058" s="32">
        <v>0.4</v>
      </c>
      <c r="F1058" s="32">
        <v>0.1</v>
      </c>
      <c r="G1058" s="32">
        <v>15</v>
      </c>
      <c r="H1058" s="30">
        <f>E1058*4+F1058*9+G1058*4</f>
        <v>62.5</v>
      </c>
      <c r="I1058" s="260" t="s">
        <v>231</v>
      </c>
      <c r="K1058" s="105" t="s">
        <v>190</v>
      </c>
      <c r="L1058" s="9">
        <v>1.2</v>
      </c>
      <c r="M1058" s="9"/>
    </row>
    <row r="1059" spans="1:13" s="80" customFormat="1" ht="30" customHeight="1">
      <c r="A1059" s="503" t="s">
        <v>243</v>
      </c>
      <c r="B1059" s="503"/>
      <c r="C1059" s="503"/>
      <c r="D1059" s="55">
        <v>200</v>
      </c>
      <c r="E1059" s="56">
        <v>0.2</v>
      </c>
      <c r="F1059" s="56">
        <v>0</v>
      </c>
      <c r="G1059" s="56">
        <v>11.9</v>
      </c>
      <c r="H1059" s="55">
        <v>53</v>
      </c>
      <c r="I1059" s="374" t="s">
        <v>242</v>
      </c>
      <c r="K1059" s="347" t="s">
        <v>191</v>
      </c>
      <c r="L1059" s="9">
        <v>3</v>
      </c>
      <c r="M1059" s="9"/>
    </row>
    <row r="1060" spans="1:10" s="9" customFormat="1" ht="30" customHeight="1">
      <c r="A1060" s="67" t="s">
        <v>26</v>
      </c>
      <c r="B1060" s="44">
        <v>2</v>
      </c>
      <c r="C1060" s="44">
        <v>2</v>
      </c>
      <c r="D1060" s="330"/>
      <c r="E1060" s="203"/>
      <c r="F1060" s="203"/>
      <c r="G1060" s="203"/>
      <c r="H1060" s="204"/>
      <c r="I1060" s="374"/>
      <c r="J1060" s="80"/>
    </row>
    <row r="1061" spans="1:17" s="80" customFormat="1" ht="30" customHeight="1">
      <c r="A1061" s="67" t="s">
        <v>4</v>
      </c>
      <c r="B1061" s="35">
        <v>12</v>
      </c>
      <c r="C1061" s="35">
        <v>12</v>
      </c>
      <c r="D1061" s="36"/>
      <c r="E1061" s="203"/>
      <c r="F1061" s="203"/>
      <c r="G1061" s="203"/>
      <c r="H1061" s="204"/>
      <c r="I1061" s="373"/>
      <c r="J1061" s="9"/>
      <c r="M1061" s="9"/>
      <c r="N1061" s="9"/>
      <c r="O1061" s="9"/>
      <c r="P1061" s="9"/>
      <c r="Q1061" s="9"/>
    </row>
    <row r="1062" spans="1:9" s="9" customFormat="1" ht="30" customHeight="1">
      <c r="A1062" s="516" t="s">
        <v>63</v>
      </c>
      <c r="B1062" s="516"/>
      <c r="C1062" s="516"/>
      <c r="D1062" s="167">
        <f>D1063+D1117+D1113+260+D1103</f>
        <v>860</v>
      </c>
      <c r="E1062" s="53">
        <f>E1063+E1117+E1122+E1124+E1113+E1086+E1103</f>
        <v>29.256666666666668</v>
      </c>
      <c r="F1062" s="53">
        <f>F1063+F1117+F1122+F1124+F1113+F1086+F1103</f>
        <v>29.784999999999997</v>
      </c>
      <c r="G1062" s="53">
        <f>G1063+G1117+G1122+G1124+G1113+G1086+G1103</f>
        <v>110.13666666666667</v>
      </c>
      <c r="H1062" s="53">
        <f>H1063+H1117+H1122+H1124+H1113+H1086+H1103</f>
        <v>823.1716666666667</v>
      </c>
      <c r="I1062" s="379"/>
    </row>
    <row r="1063" spans="1:9" s="9" customFormat="1" ht="30" customHeight="1">
      <c r="A1063" s="504" t="s">
        <v>244</v>
      </c>
      <c r="B1063" s="504"/>
      <c r="C1063" s="504"/>
      <c r="D1063" s="24">
        <v>100</v>
      </c>
      <c r="E1063" s="56">
        <v>1.75</v>
      </c>
      <c r="F1063" s="56">
        <v>5.124999999999999</v>
      </c>
      <c r="G1063" s="56">
        <v>5.749999999999999</v>
      </c>
      <c r="H1063" s="55">
        <f>G1063*4+F1063*9+E1063*4</f>
        <v>76.12499999999999</v>
      </c>
      <c r="I1063" s="261" t="s">
        <v>245</v>
      </c>
    </row>
    <row r="1064" spans="1:9" s="9" customFormat="1" ht="30" customHeight="1">
      <c r="A1064" s="64" t="s">
        <v>12</v>
      </c>
      <c r="B1064" s="43">
        <f>C1064*1.33</f>
        <v>26.6</v>
      </c>
      <c r="C1064" s="43">
        <v>20</v>
      </c>
      <c r="D1064" s="44"/>
      <c r="E1064" s="128"/>
      <c r="F1064" s="128"/>
      <c r="G1064" s="128"/>
      <c r="H1064" s="128"/>
      <c r="I1064" s="373"/>
    </row>
    <row r="1065" spans="1:17" s="80" customFormat="1" ht="30" customHeight="1">
      <c r="A1065" s="64" t="s">
        <v>13</v>
      </c>
      <c r="B1065" s="43">
        <f>C1065*1.43</f>
        <v>28.599999999999998</v>
      </c>
      <c r="C1065" s="43">
        <v>20</v>
      </c>
      <c r="D1065" s="44"/>
      <c r="E1065" s="128"/>
      <c r="F1065" s="128"/>
      <c r="G1065" s="128"/>
      <c r="H1065" s="55"/>
      <c r="I1065" s="373"/>
      <c r="J1065" s="9"/>
      <c r="M1065" s="9"/>
      <c r="N1065" s="9"/>
      <c r="O1065" s="9"/>
      <c r="P1065" s="9"/>
      <c r="Q1065" s="9"/>
    </row>
    <row r="1066" spans="1:9" s="9" customFormat="1" ht="30" customHeight="1">
      <c r="A1066" s="67" t="s">
        <v>14</v>
      </c>
      <c r="B1066" s="43">
        <f>C1066*1.54</f>
        <v>30.8</v>
      </c>
      <c r="C1066" s="43">
        <v>20</v>
      </c>
      <c r="D1066" s="44"/>
      <c r="E1066" s="128"/>
      <c r="F1066" s="128"/>
      <c r="G1066" s="128"/>
      <c r="H1066" s="55"/>
      <c r="I1066" s="373"/>
    </row>
    <row r="1067" spans="1:17" s="9" customFormat="1" ht="30" customHeight="1">
      <c r="A1067" s="67" t="s">
        <v>15</v>
      </c>
      <c r="B1067" s="43">
        <f>C1067*1.67</f>
        <v>33.4</v>
      </c>
      <c r="C1067" s="43">
        <v>20</v>
      </c>
      <c r="D1067" s="44"/>
      <c r="E1067" s="128"/>
      <c r="F1067" s="128"/>
      <c r="G1067" s="128"/>
      <c r="H1067" s="55"/>
      <c r="I1067" s="373"/>
      <c r="N1067" s="80"/>
      <c r="O1067" s="80"/>
      <c r="P1067" s="80"/>
      <c r="Q1067" s="80"/>
    </row>
    <row r="1068" spans="1:17" s="155" customFormat="1" ht="30" customHeight="1">
      <c r="A1068" s="64" t="s">
        <v>17</v>
      </c>
      <c r="B1068" s="43">
        <f>C1068*1.25</f>
        <v>20</v>
      </c>
      <c r="C1068" s="43">
        <v>16</v>
      </c>
      <c r="D1068" s="44"/>
      <c r="E1068" s="128"/>
      <c r="F1068" s="128"/>
      <c r="G1068" s="128"/>
      <c r="H1068" s="55"/>
      <c r="I1068" s="373"/>
      <c r="J1068" s="126"/>
      <c r="M1068" s="9"/>
      <c r="N1068" s="80"/>
      <c r="O1068" s="80"/>
      <c r="P1068" s="80"/>
      <c r="Q1068" s="80"/>
    </row>
    <row r="1069" spans="1:9" s="9" customFormat="1" ht="30" customHeight="1">
      <c r="A1069" s="64" t="s">
        <v>16</v>
      </c>
      <c r="B1069" s="43">
        <f>C1069*1.33</f>
        <v>21.28</v>
      </c>
      <c r="C1069" s="43">
        <v>16</v>
      </c>
      <c r="D1069" s="44"/>
      <c r="E1069" s="128"/>
      <c r="F1069" s="128"/>
      <c r="G1069" s="128"/>
      <c r="H1069" s="55"/>
      <c r="I1069" s="373"/>
    </row>
    <row r="1070" spans="1:10" s="9" customFormat="1" ht="30" customHeight="1">
      <c r="A1070" s="64" t="s">
        <v>67</v>
      </c>
      <c r="B1070" s="43">
        <f>C1070*1.25</f>
        <v>18.75</v>
      </c>
      <c r="C1070" s="43">
        <v>15</v>
      </c>
      <c r="D1070" s="44"/>
      <c r="E1070" s="128"/>
      <c r="F1070" s="128"/>
      <c r="G1070" s="128"/>
      <c r="H1070" s="168"/>
      <c r="I1070" s="373"/>
      <c r="J1070" s="155"/>
    </row>
    <row r="1071" spans="1:17" s="9" customFormat="1" ht="30" customHeight="1">
      <c r="A1071" s="64" t="s">
        <v>16</v>
      </c>
      <c r="B1071" s="43">
        <f>C1071*1.33</f>
        <v>19.950000000000003</v>
      </c>
      <c r="C1071" s="43">
        <v>15</v>
      </c>
      <c r="D1071" s="44"/>
      <c r="E1071" s="128"/>
      <c r="F1071" s="128"/>
      <c r="G1071" s="128"/>
      <c r="H1071" s="168"/>
      <c r="I1071" s="373"/>
      <c r="J1071" s="80"/>
      <c r="N1071" s="80"/>
      <c r="O1071" s="80"/>
      <c r="P1071" s="80"/>
      <c r="Q1071" s="80"/>
    </row>
    <row r="1072" spans="1:17" s="9" customFormat="1" ht="30" customHeight="1">
      <c r="A1072" s="64" t="s">
        <v>129</v>
      </c>
      <c r="B1072" s="43">
        <f>C1072*1.82</f>
        <v>29.12</v>
      </c>
      <c r="C1072" s="43">
        <v>16</v>
      </c>
      <c r="D1072" s="44"/>
      <c r="E1072" s="128"/>
      <c r="F1072" s="128"/>
      <c r="G1072" s="128"/>
      <c r="H1072" s="168"/>
      <c r="I1072" s="373"/>
      <c r="N1072" s="80"/>
      <c r="O1072" s="80"/>
      <c r="P1072" s="80"/>
      <c r="Q1072" s="80"/>
    </row>
    <row r="1073" spans="1:17" s="9" customFormat="1" ht="30" customHeight="1">
      <c r="A1073" s="64" t="s">
        <v>167</v>
      </c>
      <c r="B1073" s="43">
        <f>C1073*1.67</f>
        <v>58.449999999999996</v>
      </c>
      <c r="C1073" s="43">
        <v>35</v>
      </c>
      <c r="D1073" s="44"/>
      <c r="E1073" s="128"/>
      <c r="F1073" s="128"/>
      <c r="G1073" s="128"/>
      <c r="H1073" s="168"/>
      <c r="I1073" s="373"/>
      <c r="J1073" s="80"/>
      <c r="N1073" s="80"/>
      <c r="O1073" s="80"/>
      <c r="P1073" s="80"/>
      <c r="Q1073" s="80"/>
    </row>
    <row r="1074" spans="1:17" s="9" customFormat="1" ht="30" customHeight="1">
      <c r="A1074" s="67" t="s">
        <v>11</v>
      </c>
      <c r="B1074" s="44">
        <v>5</v>
      </c>
      <c r="C1074" s="44">
        <v>5</v>
      </c>
      <c r="D1074" s="5"/>
      <c r="E1074" s="128"/>
      <c r="F1074" s="128"/>
      <c r="G1074" s="128"/>
      <c r="H1074" s="168"/>
      <c r="I1074" s="373"/>
      <c r="J1074" s="80"/>
      <c r="N1074" s="80"/>
      <c r="O1074" s="80"/>
      <c r="P1074" s="80"/>
      <c r="Q1074" s="80"/>
    </row>
    <row r="1075" spans="1:17" s="9" customFormat="1" ht="30" customHeight="1">
      <c r="A1075" s="506" t="s">
        <v>76</v>
      </c>
      <c r="B1075" s="506"/>
      <c r="C1075" s="506"/>
      <c r="D1075" s="506"/>
      <c r="E1075" s="506"/>
      <c r="F1075" s="506"/>
      <c r="G1075" s="506"/>
      <c r="H1075" s="506"/>
      <c r="I1075" s="506"/>
      <c r="J1075" s="80"/>
      <c r="N1075" s="80"/>
      <c r="O1075" s="80"/>
      <c r="P1075" s="80"/>
      <c r="Q1075" s="80"/>
    </row>
    <row r="1076" spans="1:17" s="9" customFormat="1" ht="30" customHeight="1">
      <c r="A1076" s="504" t="s">
        <v>365</v>
      </c>
      <c r="B1076" s="504"/>
      <c r="C1076" s="504"/>
      <c r="D1076" s="24">
        <v>100</v>
      </c>
      <c r="E1076" s="56">
        <v>1.4</v>
      </c>
      <c r="F1076" s="56">
        <v>5.2</v>
      </c>
      <c r="G1076" s="56">
        <v>6</v>
      </c>
      <c r="H1076" s="55">
        <f>G1076*4+F1076*9+E1076*4</f>
        <v>76.4</v>
      </c>
      <c r="I1076" s="261" t="s">
        <v>366</v>
      </c>
      <c r="J1076" s="80"/>
      <c r="N1076" s="80"/>
      <c r="O1076" s="80"/>
      <c r="P1076" s="80"/>
      <c r="Q1076" s="80"/>
    </row>
    <row r="1077" spans="1:10" s="9" customFormat="1" ht="30" customHeight="1">
      <c r="A1077" s="72" t="s">
        <v>102</v>
      </c>
      <c r="B1077" s="198">
        <f>C1077*1.18</f>
        <v>29.5</v>
      </c>
      <c r="C1077" s="198">
        <v>25</v>
      </c>
      <c r="D1077" s="44"/>
      <c r="E1077" s="128"/>
      <c r="F1077" s="128"/>
      <c r="G1077" s="128"/>
      <c r="H1077" s="55"/>
      <c r="I1077" s="375"/>
      <c r="J1077" s="80"/>
    </row>
    <row r="1078" spans="1:10" s="9" customFormat="1" ht="30" customHeight="1">
      <c r="A1078" s="72" t="s">
        <v>172</v>
      </c>
      <c r="B1078" s="198">
        <f>C1078*1.02</f>
        <v>25.5</v>
      </c>
      <c r="C1078" s="198">
        <v>25</v>
      </c>
      <c r="D1078" s="44"/>
      <c r="E1078" s="128"/>
      <c r="F1078" s="128"/>
      <c r="G1078" s="128"/>
      <c r="H1078" s="55"/>
      <c r="I1078" s="375"/>
      <c r="J1078" s="80"/>
    </row>
    <row r="1079" spans="1:10" s="9" customFormat="1" ht="30" customHeight="1">
      <c r="A1079" s="72" t="s">
        <v>361</v>
      </c>
      <c r="B1079" s="335">
        <f>C1079*1.02</f>
        <v>23.46</v>
      </c>
      <c r="C1079" s="198">
        <v>23</v>
      </c>
      <c r="D1079" s="44"/>
      <c r="E1079" s="128"/>
      <c r="F1079" s="128"/>
      <c r="G1079" s="128"/>
      <c r="H1079" s="168"/>
      <c r="I1079" s="375"/>
      <c r="J1079" s="80"/>
    </row>
    <row r="1080" spans="1:10" s="9" customFormat="1" ht="30" customHeight="1">
      <c r="A1080" s="72" t="s">
        <v>120</v>
      </c>
      <c r="B1080" s="198">
        <f>C1080*1.05</f>
        <v>24.150000000000002</v>
      </c>
      <c r="C1080" s="198">
        <v>23</v>
      </c>
      <c r="D1080" s="44"/>
      <c r="E1080" s="128"/>
      <c r="F1080" s="128"/>
      <c r="G1080" s="128"/>
      <c r="H1080" s="168"/>
      <c r="I1080" s="375"/>
      <c r="J1080" s="80"/>
    </row>
    <row r="1081" spans="1:9" s="9" customFormat="1" ht="30" customHeight="1">
      <c r="A1081" s="359" t="s">
        <v>362</v>
      </c>
      <c r="B1081" s="198">
        <f>C1081*1.33</f>
        <v>15.96</v>
      </c>
      <c r="C1081" s="198">
        <v>12</v>
      </c>
      <c r="D1081" s="44"/>
      <c r="E1081" s="128"/>
      <c r="F1081" s="128"/>
      <c r="G1081" s="128"/>
      <c r="H1081" s="168"/>
      <c r="I1081" s="375"/>
    </row>
    <row r="1082" spans="1:17" s="9" customFormat="1" ht="30" customHeight="1">
      <c r="A1082" s="72" t="s">
        <v>363</v>
      </c>
      <c r="B1082" s="198">
        <f>C1082*1.25</f>
        <v>43.75</v>
      </c>
      <c r="C1082" s="198">
        <v>35</v>
      </c>
      <c r="D1082" s="44"/>
      <c r="E1082" s="128"/>
      <c r="F1082" s="128"/>
      <c r="G1082" s="128"/>
      <c r="H1082" s="168"/>
      <c r="I1082" s="375"/>
      <c r="N1082" s="80"/>
      <c r="O1082" s="80"/>
      <c r="P1082" s="80"/>
      <c r="Q1082" s="80"/>
    </row>
    <row r="1083" spans="1:17" s="9" customFormat="1" ht="30" customHeight="1">
      <c r="A1083" s="72" t="s">
        <v>364</v>
      </c>
      <c r="B1083" s="335">
        <v>0.9</v>
      </c>
      <c r="C1083" s="335">
        <v>0.9</v>
      </c>
      <c r="D1083" s="44"/>
      <c r="E1083" s="128"/>
      <c r="F1083" s="128"/>
      <c r="G1083" s="128"/>
      <c r="H1083" s="168"/>
      <c r="I1083" s="375"/>
      <c r="J1083" s="80"/>
      <c r="N1083" s="80"/>
      <c r="O1083" s="80"/>
      <c r="P1083" s="80"/>
      <c r="Q1083" s="80"/>
    </row>
    <row r="1084" spans="1:17" s="80" customFormat="1" ht="30" customHeight="1">
      <c r="A1084" s="72" t="s">
        <v>4</v>
      </c>
      <c r="B1084" s="198">
        <v>1</v>
      </c>
      <c r="C1084" s="198">
        <v>1</v>
      </c>
      <c r="D1084" s="44"/>
      <c r="E1084" s="128"/>
      <c r="F1084" s="128"/>
      <c r="G1084" s="128"/>
      <c r="H1084" s="168"/>
      <c r="I1084" s="375"/>
      <c r="M1084" s="9"/>
      <c r="N1084" s="9"/>
      <c r="O1084" s="9"/>
      <c r="P1084" s="9"/>
      <c r="Q1084" s="9"/>
    </row>
    <row r="1085" spans="1:17" s="80" customFormat="1" ht="30" customHeight="1">
      <c r="A1085" s="71" t="s">
        <v>11</v>
      </c>
      <c r="B1085" s="75">
        <v>5</v>
      </c>
      <c r="C1085" s="75">
        <v>5</v>
      </c>
      <c r="D1085" s="5"/>
      <c r="E1085" s="128"/>
      <c r="F1085" s="128"/>
      <c r="G1085" s="128"/>
      <c r="H1085" s="168"/>
      <c r="I1085" s="375"/>
      <c r="J1085" s="9"/>
      <c r="M1085" s="9"/>
      <c r="N1085" s="9"/>
      <c r="O1085" s="9"/>
      <c r="P1085" s="9"/>
      <c r="Q1085" s="9"/>
    </row>
    <row r="1086" spans="1:17" s="9" customFormat="1" ht="30" customHeight="1">
      <c r="A1086" s="504" t="s">
        <v>489</v>
      </c>
      <c r="B1086" s="504"/>
      <c r="C1086" s="504"/>
      <c r="D1086" s="24" t="s">
        <v>71</v>
      </c>
      <c r="E1086" s="56">
        <v>7.3</v>
      </c>
      <c r="F1086" s="56">
        <v>8.3</v>
      </c>
      <c r="G1086" s="56">
        <v>11.2</v>
      </c>
      <c r="H1086" s="55">
        <f>G1086*4+F1086*9+E1086*4</f>
        <v>148.7</v>
      </c>
      <c r="I1086" s="374" t="s">
        <v>488</v>
      </c>
      <c r="N1086" s="80"/>
      <c r="O1086" s="80"/>
      <c r="P1086" s="80"/>
      <c r="Q1086" s="80"/>
    </row>
    <row r="1087" spans="1:13" s="80" customFormat="1" ht="30" customHeight="1">
      <c r="A1087" s="70" t="s">
        <v>116</v>
      </c>
      <c r="B1087" s="33">
        <v>29</v>
      </c>
      <c r="C1087" s="43">
        <v>26</v>
      </c>
      <c r="D1087" s="5"/>
      <c r="E1087" s="48"/>
      <c r="F1087" s="48"/>
      <c r="G1087" s="48"/>
      <c r="H1087" s="48"/>
      <c r="I1087" s="383"/>
      <c r="J1087" s="9"/>
      <c r="K1087" s="9"/>
      <c r="L1087" s="9"/>
      <c r="M1087" s="9"/>
    </row>
    <row r="1088" spans="1:17" s="9" customFormat="1" ht="30" customHeight="1">
      <c r="A1088" s="148" t="s">
        <v>133</v>
      </c>
      <c r="B1088" s="61">
        <f>C1088*1.04</f>
        <v>18.72</v>
      </c>
      <c r="C1088" s="43">
        <v>18</v>
      </c>
      <c r="D1088" s="207"/>
      <c r="E1088" s="200"/>
      <c r="F1088" s="128"/>
      <c r="G1088" s="128"/>
      <c r="H1088" s="201"/>
      <c r="I1088" s="387"/>
      <c r="J1088" s="80"/>
      <c r="N1088" s="80"/>
      <c r="O1088" s="80"/>
      <c r="P1088" s="80"/>
      <c r="Q1088" s="80"/>
    </row>
    <row r="1089" spans="1:13" s="80" customFormat="1" ht="30" customHeight="1">
      <c r="A1089" s="148" t="s">
        <v>135</v>
      </c>
      <c r="B1089" s="61">
        <f>C1089*1.048</f>
        <v>14.672</v>
      </c>
      <c r="C1089" s="43">
        <v>14</v>
      </c>
      <c r="D1089" s="207"/>
      <c r="E1089" s="128"/>
      <c r="F1089" s="128"/>
      <c r="G1089" s="128"/>
      <c r="H1089" s="128"/>
      <c r="I1089" s="373"/>
      <c r="K1089" s="9"/>
      <c r="L1089" s="9"/>
      <c r="M1089" s="9"/>
    </row>
    <row r="1090" spans="1:13" s="80" customFormat="1" ht="30" customHeight="1">
      <c r="A1090" s="504" t="s">
        <v>490</v>
      </c>
      <c r="B1090" s="504"/>
      <c r="C1090" s="504"/>
      <c r="D1090" s="24" t="s">
        <v>71</v>
      </c>
      <c r="E1090" s="56">
        <v>6.7</v>
      </c>
      <c r="F1090" s="56">
        <v>7.6</v>
      </c>
      <c r="G1090" s="56">
        <v>11.2</v>
      </c>
      <c r="H1090" s="55">
        <f>G1090*4+F1090*9+E1090*4</f>
        <v>140</v>
      </c>
      <c r="I1090" s="374" t="s">
        <v>488</v>
      </c>
      <c r="K1090" s="9"/>
      <c r="L1090" s="9"/>
      <c r="M1090" s="9"/>
    </row>
    <row r="1091" spans="1:17" s="9" customFormat="1" ht="30" customHeight="1">
      <c r="A1091" s="65" t="s">
        <v>90</v>
      </c>
      <c r="B1091" s="33">
        <f>C1091*1.36</f>
        <v>21.76</v>
      </c>
      <c r="C1091" s="5">
        <v>16</v>
      </c>
      <c r="D1091" s="5"/>
      <c r="E1091" s="48"/>
      <c r="F1091" s="48"/>
      <c r="G1091" s="48"/>
      <c r="H1091" s="168"/>
      <c r="I1091" s="374"/>
      <c r="J1091" s="80"/>
      <c r="K1091" s="80"/>
      <c r="L1091" s="80"/>
      <c r="N1091" s="80"/>
      <c r="O1091" s="80"/>
      <c r="P1091" s="80"/>
      <c r="Q1091" s="80"/>
    </row>
    <row r="1092" spans="1:17" s="9" customFormat="1" ht="30" customHeight="1">
      <c r="A1092" s="65" t="s">
        <v>91</v>
      </c>
      <c r="B1092" s="33">
        <f>C1092*1.18</f>
        <v>18.88</v>
      </c>
      <c r="C1092" s="5">
        <v>16</v>
      </c>
      <c r="D1092" s="5"/>
      <c r="E1092" s="48"/>
      <c r="F1092" s="48"/>
      <c r="G1092" s="48"/>
      <c r="H1092" s="168"/>
      <c r="I1092" s="374"/>
      <c r="J1092" s="80"/>
      <c r="K1092" s="80"/>
      <c r="L1092" s="80"/>
      <c r="N1092" s="80"/>
      <c r="O1092" s="80"/>
      <c r="P1092" s="80"/>
      <c r="Q1092" s="80"/>
    </row>
    <row r="1093" spans="1:17" s="9" customFormat="1" ht="30" customHeight="1">
      <c r="A1093" s="67" t="s">
        <v>12</v>
      </c>
      <c r="B1093" s="45">
        <f>C1093*1.33</f>
        <v>99.75</v>
      </c>
      <c r="C1093" s="44">
        <v>75</v>
      </c>
      <c r="D1093" s="44"/>
      <c r="E1093" s="128"/>
      <c r="F1093" s="128"/>
      <c r="G1093" s="128"/>
      <c r="H1093" s="168"/>
      <c r="I1093" s="374"/>
      <c r="J1093" s="80"/>
      <c r="K1093" s="80"/>
      <c r="L1093" s="80"/>
      <c r="N1093" s="80"/>
      <c r="O1093" s="80"/>
      <c r="P1093" s="80"/>
      <c r="Q1093" s="80"/>
    </row>
    <row r="1094" spans="1:17" s="9" customFormat="1" ht="30" customHeight="1">
      <c r="A1094" s="67" t="s">
        <v>13</v>
      </c>
      <c r="B1094" s="45">
        <f>C1094*1.43</f>
        <v>107.25</v>
      </c>
      <c r="C1094" s="44">
        <v>75</v>
      </c>
      <c r="D1094" s="44"/>
      <c r="E1094" s="128"/>
      <c r="F1094" s="128"/>
      <c r="G1094" s="196"/>
      <c r="H1094" s="197"/>
      <c r="I1094" s="374"/>
      <c r="J1094" s="126"/>
      <c r="K1094" s="126"/>
      <c r="L1094" s="126"/>
      <c r="N1094" s="80"/>
      <c r="O1094" s="80"/>
      <c r="P1094" s="80"/>
      <c r="Q1094" s="80"/>
    </row>
    <row r="1095" spans="1:17" s="9" customFormat="1" ht="30" customHeight="1">
      <c r="A1095" s="67" t="s">
        <v>14</v>
      </c>
      <c r="B1095" s="45">
        <f>C1095*1.54</f>
        <v>115.5</v>
      </c>
      <c r="C1095" s="44">
        <v>75</v>
      </c>
      <c r="D1095" s="44"/>
      <c r="E1095" s="128"/>
      <c r="F1095" s="128"/>
      <c r="G1095" s="128"/>
      <c r="H1095" s="168"/>
      <c r="I1095" s="374"/>
      <c r="K1095" s="80"/>
      <c r="L1095" s="80"/>
      <c r="N1095" s="80"/>
      <c r="O1095" s="80"/>
      <c r="P1095" s="80"/>
      <c r="Q1095" s="80"/>
    </row>
    <row r="1096" spans="1:10" s="9" customFormat="1" ht="30" customHeight="1">
      <c r="A1096" s="67" t="s">
        <v>15</v>
      </c>
      <c r="B1096" s="45">
        <f>C1096*1.67</f>
        <v>125.25</v>
      </c>
      <c r="C1096" s="44">
        <v>75</v>
      </c>
      <c r="D1096" s="44"/>
      <c r="E1096" s="128"/>
      <c r="F1096" s="128"/>
      <c r="G1096" s="196"/>
      <c r="H1096" s="197"/>
      <c r="I1096" s="374"/>
      <c r="J1096" s="2"/>
    </row>
    <row r="1097" spans="1:10" s="9" customFormat="1" ht="30" customHeight="1">
      <c r="A1097" s="67" t="s">
        <v>67</v>
      </c>
      <c r="B1097" s="168">
        <f>C1097*1.25</f>
        <v>25</v>
      </c>
      <c r="C1097" s="111">
        <v>20</v>
      </c>
      <c r="D1097" s="44"/>
      <c r="E1097" s="128"/>
      <c r="F1097" s="128"/>
      <c r="G1097" s="196"/>
      <c r="H1097" s="197"/>
      <c r="I1097" s="374"/>
      <c r="J1097" s="1"/>
    </row>
    <row r="1098" spans="1:17" s="9" customFormat="1" ht="30" customHeight="1">
      <c r="A1098" s="67" t="s">
        <v>16</v>
      </c>
      <c r="B1098" s="45">
        <f>C1098*1.33</f>
        <v>26.6</v>
      </c>
      <c r="C1098" s="44">
        <v>20</v>
      </c>
      <c r="D1098" s="44"/>
      <c r="E1098" s="128"/>
      <c r="F1098" s="128"/>
      <c r="G1098" s="196"/>
      <c r="H1098" s="197"/>
      <c r="I1098" s="374"/>
      <c r="N1098" s="80"/>
      <c r="O1098" s="80"/>
      <c r="P1098" s="80"/>
      <c r="Q1098" s="80"/>
    </row>
    <row r="1099" spans="1:17" s="9" customFormat="1" ht="30" customHeight="1">
      <c r="A1099" s="67" t="s">
        <v>18</v>
      </c>
      <c r="B1099" s="45">
        <f>C1099*1.19</f>
        <v>23.799999999999997</v>
      </c>
      <c r="C1099" s="44">
        <v>20</v>
      </c>
      <c r="D1099" s="44"/>
      <c r="E1099" s="128"/>
      <c r="F1099" s="128"/>
      <c r="G1099" s="196"/>
      <c r="H1099" s="197"/>
      <c r="I1099" s="374"/>
      <c r="J1099" s="1"/>
      <c r="N1099" s="80"/>
      <c r="O1099" s="80"/>
      <c r="P1099" s="80"/>
      <c r="Q1099" s="80"/>
    </row>
    <row r="1100" spans="1:17" s="9" customFormat="1" ht="30" customHeight="1">
      <c r="A1100" s="67" t="s">
        <v>19</v>
      </c>
      <c r="B1100" s="45">
        <v>5</v>
      </c>
      <c r="C1100" s="44">
        <v>5</v>
      </c>
      <c r="D1100" s="44"/>
      <c r="E1100" s="128"/>
      <c r="F1100" s="128"/>
      <c r="G1100" s="196"/>
      <c r="H1100" s="197"/>
      <c r="I1100" s="374"/>
      <c r="N1100" s="80"/>
      <c r="O1100" s="80"/>
      <c r="P1100" s="80"/>
      <c r="Q1100" s="80"/>
    </row>
    <row r="1101" spans="1:17" s="9" customFormat="1" ht="30" customHeight="1">
      <c r="A1101" s="113" t="s">
        <v>88</v>
      </c>
      <c r="B1101" s="111">
        <v>10</v>
      </c>
      <c r="C1101" s="111">
        <v>10</v>
      </c>
      <c r="D1101" s="44"/>
      <c r="E1101" s="128"/>
      <c r="F1101" s="128"/>
      <c r="G1101" s="196"/>
      <c r="H1101" s="197"/>
      <c r="I1101" s="374"/>
      <c r="N1101" s="80"/>
      <c r="O1101" s="80"/>
      <c r="P1101" s="80"/>
      <c r="Q1101" s="80"/>
    </row>
    <row r="1102" spans="1:9" s="9" customFormat="1" ht="30" customHeight="1">
      <c r="A1102" s="64" t="s">
        <v>78</v>
      </c>
      <c r="B1102" s="48">
        <v>0.2</v>
      </c>
      <c r="C1102" s="48">
        <v>0.2</v>
      </c>
      <c r="D1102" s="5"/>
      <c r="E1102" s="128"/>
      <c r="F1102" s="128"/>
      <c r="G1102" s="128"/>
      <c r="H1102" s="168"/>
      <c r="I1102" s="374"/>
    </row>
    <row r="1103" spans="1:17" s="9" customFormat="1" ht="30" customHeight="1">
      <c r="A1103" s="503" t="s">
        <v>493</v>
      </c>
      <c r="B1103" s="503"/>
      <c r="C1103" s="503"/>
      <c r="D1103" s="54">
        <v>120</v>
      </c>
      <c r="E1103" s="56">
        <v>10.5</v>
      </c>
      <c r="F1103" s="56">
        <v>9.9</v>
      </c>
      <c r="G1103" s="56">
        <v>5.5</v>
      </c>
      <c r="H1103" s="55">
        <f>G1103*4+F1103*9+E1103*4</f>
        <v>153.10000000000002</v>
      </c>
      <c r="I1103" s="259" t="s">
        <v>494</v>
      </c>
      <c r="N1103" s="80"/>
      <c r="O1103" s="80"/>
      <c r="P1103" s="80"/>
      <c r="Q1103" s="80"/>
    </row>
    <row r="1104" spans="1:17" s="9" customFormat="1" ht="30" customHeight="1">
      <c r="A1104" s="441" t="s">
        <v>95</v>
      </c>
      <c r="B1104" s="61">
        <f>C1104*1.21</f>
        <v>146.41</v>
      </c>
      <c r="C1104" s="111">
        <v>121</v>
      </c>
      <c r="D1104" s="111"/>
      <c r="E1104" s="111"/>
      <c r="F1104" s="128"/>
      <c r="G1104" s="128"/>
      <c r="H1104" s="168"/>
      <c r="I1104" s="493"/>
      <c r="N1104" s="80"/>
      <c r="O1104" s="80"/>
      <c r="P1104" s="80"/>
      <c r="Q1104" s="80"/>
    </row>
    <row r="1105" spans="1:17" s="9" customFormat="1" ht="30" customHeight="1">
      <c r="A1105" s="113" t="s">
        <v>21</v>
      </c>
      <c r="B1105" s="469">
        <v>6</v>
      </c>
      <c r="C1105" s="469">
        <v>6</v>
      </c>
      <c r="D1105" s="111"/>
      <c r="E1105" s="128"/>
      <c r="F1105" s="128"/>
      <c r="G1105" s="56"/>
      <c r="H1105" s="55"/>
      <c r="I1105" s="493"/>
      <c r="N1105" s="80"/>
      <c r="O1105" s="80"/>
      <c r="P1105" s="80"/>
      <c r="Q1105" s="80"/>
    </row>
    <row r="1106" spans="1:17" s="9" customFormat="1" ht="30" customHeight="1">
      <c r="A1106" s="67" t="s">
        <v>11</v>
      </c>
      <c r="B1106" s="44">
        <v>5</v>
      </c>
      <c r="C1106" s="44">
        <v>5</v>
      </c>
      <c r="D1106" s="111"/>
      <c r="E1106" s="224"/>
      <c r="F1106" s="128"/>
      <c r="G1106" s="56"/>
      <c r="H1106" s="55"/>
      <c r="I1106" s="493"/>
      <c r="J1106" s="1"/>
      <c r="N1106" s="80"/>
      <c r="O1106" s="80"/>
      <c r="P1106" s="80"/>
      <c r="Q1106" s="80"/>
    </row>
    <row r="1107" spans="1:9" s="9" customFormat="1" ht="30" customHeight="1">
      <c r="A1107" s="67" t="s">
        <v>495</v>
      </c>
      <c r="B1107" s="44"/>
      <c r="C1107" s="44">
        <v>80</v>
      </c>
      <c r="D1107" s="111"/>
      <c r="E1107" s="128"/>
      <c r="F1107" s="128"/>
      <c r="G1107" s="56"/>
      <c r="H1107" s="55"/>
      <c r="I1107" s="493"/>
    </row>
    <row r="1108" spans="1:9" s="9" customFormat="1" ht="30" customHeight="1">
      <c r="A1108" s="67" t="s">
        <v>496</v>
      </c>
      <c r="B1108" s="44"/>
      <c r="C1108" s="44">
        <v>50</v>
      </c>
      <c r="D1108" s="111"/>
      <c r="E1108" s="128"/>
      <c r="F1108" s="128"/>
      <c r="G1108" s="56"/>
      <c r="H1108" s="55"/>
      <c r="I1108" s="259" t="s">
        <v>497</v>
      </c>
    </row>
    <row r="1109" spans="1:9" s="9" customFormat="1" ht="30" customHeight="1">
      <c r="A1109" s="119" t="s">
        <v>62</v>
      </c>
      <c r="B1109" s="494">
        <v>12.5</v>
      </c>
      <c r="C1109" s="494">
        <v>12.5</v>
      </c>
      <c r="D1109" s="111"/>
      <c r="E1109" s="128"/>
      <c r="F1109" s="128"/>
      <c r="G1109" s="56"/>
      <c r="H1109" s="55"/>
      <c r="I1109" s="493"/>
    </row>
    <row r="1110" spans="1:10" s="9" customFormat="1" ht="30" customHeight="1">
      <c r="A1110" s="113" t="s">
        <v>21</v>
      </c>
      <c r="B1110" s="494">
        <v>1.3</v>
      </c>
      <c r="C1110" s="494">
        <v>1.3</v>
      </c>
      <c r="D1110" s="111"/>
      <c r="E1110" s="128"/>
      <c r="F1110" s="128"/>
      <c r="G1110" s="56"/>
      <c r="H1110" s="55"/>
      <c r="I1110" s="493"/>
      <c r="J1110" s="80"/>
    </row>
    <row r="1111" spans="1:10" s="9" customFormat="1" ht="30" customHeight="1">
      <c r="A1111" s="495" t="s">
        <v>69</v>
      </c>
      <c r="B1111" s="168">
        <v>40</v>
      </c>
      <c r="C1111" s="168">
        <v>40</v>
      </c>
      <c r="D1111" s="111"/>
      <c r="E1111" s="128"/>
      <c r="F1111" s="128"/>
      <c r="G1111" s="128"/>
      <c r="H1111" s="168"/>
      <c r="I1111" s="493"/>
      <c r="J1111" s="80"/>
    </row>
    <row r="1112" spans="1:10" s="9" customFormat="1" ht="30" customHeight="1">
      <c r="A1112" s="113" t="s">
        <v>19</v>
      </c>
      <c r="B1112" s="128">
        <v>1.3</v>
      </c>
      <c r="C1112" s="128">
        <v>1.3</v>
      </c>
      <c r="D1112" s="111"/>
      <c r="E1112" s="45"/>
      <c r="F1112" s="49"/>
      <c r="G1112" s="128"/>
      <c r="H1112" s="30"/>
      <c r="I1112" s="493"/>
      <c r="J1112" s="80"/>
    </row>
    <row r="1113" spans="1:9" s="9" customFormat="1" ht="30" customHeight="1">
      <c r="A1113" s="508" t="s">
        <v>327</v>
      </c>
      <c r="B1113" s="508"/>
      <c r="C1113" s="508"/>
      <c r="D1113" s="47">
        <v>180</v>
      </c>
      <c r="E1113" s="110">
        <v>5.64</v>
      </c>
      <c r="F1113" s="110">
        <v>5.76</v>
      </c>
      <c r="G1113" s="103">
        <v>24.720000000000002</v>
      </c>
      <c r="H1113" s="141">
        <f>G1113*4+F1113*9+E1113*4</f>
        <v>173.28</v>
      </c>
      <c r="I1113" s="360" t="s">
        <v>328</v>
      </c>
    </row>
    <row r="1114" spans="1:9" s="9" customFormat="1" ht="30" customHeight="1">
      <c r="A1114" s="66" t="s">
        <v>84</v>
      </c>
      <c r="B1114" s="25">
        <v>45</v>
      </c>
      <c r="C1114" s="25">
        <v>45</v>
      </c>
      <c r="D1114" s="28"/>
      <c r="E1114" s="164"/>
      <c r="F1114" s="164"/>
      <c r="G1114" s="164"/>
      <c r="H1114" s="165"/>
      <c r="I1114" s="382"/>
    </row>
    <row r="1115" spans="1:9" s="9" customFormat="1" ht="30" customHeight="1">
      <c r="A1115" s="66" t="s">
        <v>69</v>
      </c>
      <c r="B1115" s="25">
        <v>145</v>
      </c>
      <c r="C1115" s="25">
        <v>145</v>
      </c>
      <c r="D1115" s="28"/>
      <c r="E1115" s="164"/>
      <c r="F1115" s="164"/>
      <c r="G1115" s="164"/>
      <c r="H1115" s="165"/>
      <c r="I1115" s="382"/>
    </row>
    <row r="1116" spans="1:17" s="9" customFormat="1" ht="30" customHeight="1">
      <c r="A1116" s="177" t="s">
        <v>19</v>
      </c>
      <c r="B1116" s="165">
        <v>6</v>
      </c>
      <c r="C1116" s="165">
        <v>6</v>
      </c>
      <c r="D1116" s="164"/>
      <c r="E1116" s="164"/>
      <c r="F1116" s="164"/>
      <c r="G1116" s="164"/>
      <c r="H1116" s="165"/>
      <c r="I1116" s="382"/>
      <c r="N1116" s="80"/>
      <c r="O1116" s="80"/>
      <c r="P1116" s="80"/>
      <c r="Q1116" s="80"/>
    </row>
    <row r="1117" spans="1:9" s="9" customFormat="1" ht="30" customHeight="1">
      <c r="A1117" s="242" t="s">
        <v>523</v>
      </c>
      <c r="B1117" s="54">
        <v>200</v>
      </c>
      <c r="C1117" s="54">
        <v>200</v>
      </c>
      <c r="D1117" s="54">
        <v>200</v>
      </c>
      <c r="E1117" s="56">
        <v>0.4</v>
      </c>
      <c r="F1117" s="56">
        <v>0</v>
      </c>
      <c r="G1117" s="56">
        <v>22</v>
      </c>
      <c r="H1117" s="55">
        <f>G1117*4+F1117*9+E1117*4</f>
        <v>89.6</v>
      </c>
      <c r="I1117" s="374" t="s">
        <v>237</v>
      </c>
    </row>
    <row r="1118" spans="1:10" s="9" customFormat="1" ht="30" customHeight="1">
      <c r="A1118" s="506" t="s">
        <v>76</v>
      </c>
      <c r="B1118" s="506"/>
      <c r="C1118" s="506"/>
      <c r="D1118" s="506"/>
      <c r="E1118" s="506"/>
      <c r="F1118" s="506"/>
      <c r="G1118" s="506"/>
      <c r="H1118" s="506"/>
      <c r="I1118" s="506"/>
      <c r="J1118" s="80"/>
    </row>
    <row r="1119" spans="1:10" s="9" customFormat="1" ht="30" customHeight="1">
      <c r="A1119" s="511" t="s">
        <v>247</v>
      </c>
      <c r="B1119" s="511"/>
      <c r="C1119" s="511"/>
      <c r="D1119" s="31">
        <v>200</v>
      </c>
      <c r="E1119" s="32">
        <v>1</v>
      </c>
      <c r="F1119" s="32">
        <v>0</v>
      </c>
      <c r="G1119" s="32">
        <v>22.1</v>
      </c>
      <c r="H1119" s="55">
        <f>G1119*4+F1119*9+E1119*4</f>
        <v>92.4</v>
      </c>
      <c r="I1119" s="374" t="s">
        <v>248</v>
      </c>
      <c r="J1119" s="126"/>
    </row>
    <row r="1120" spans="1:10" s="9" customFormat="1" ht="30" customHeight="1">
      <c r="A1120" s="67" t="s">
        <v>174</v>
      </c>
      <c r="B1120" s="44">
        <v>20</v>
      </c>
      <c r="C1120" s="44">
        <v>20</v>
      </c>
      <c r="D1120" s="44"/>
      <c r="E1120" s="49"/>
      <c r="F1120" s="49"/>
      <c r="G1120" s="49"/>
      <c r="H1120" s="49"/>
      <c r="I1120" s="391"/>
      <c r="J1120" s="80"/>
    </row>
    <row r="1121" spans="1:10" s="9" customFormat="1" ht="30" customHeight="1">
      <c r="A1121" s="67" t="s">
        <v>4</v>
      </c>
      <c r="B1121" s="44">
        <v>10</v>
      </c>
      <c r="C1121" s="44">
        <v>10</v>
      </c>
      <c r="D1121" s="44"/>
      <c r="E1121" s="49"/>
      <c r="F1121" s="49"/>
      <c r="G1121" s="49"/>
      <c r="H1121" s="49"/>
      <c r="I1121" s="391"/>
      <c r="J1121" s="80"/>
    </row>
    <row r="1122" spans="1:9" s="9" customFormat="1" ht="30" customHeight="1">
      <c r="A1122" s="435" t="s">
        <v>20</v>
      </c>
      <c r="B1122" s="164">
        <v>40</v>
      </c>
      <c r="C1122" s="164">
        <v>40</v>
      </c>
      <c r="D1122" s="103">
        <v>40</v>
      </c>
      <c r="E1122" s="110">
        <v>1.8666666666666667</v>
      </c>
      <c r="F1122" s="110">
        <v>0.4</v>
      </c>
      <c r="G1122" s="110">
        <v>17.466666666666665</v>
      </c>
      <c r="H1122" s="141">
        <v>81.06666666666666</v>
      </c>
      <c r="I1122" s="374"/>
    </row>
    <row r="1123" spans="1:9" s="9" customFormat="1" ht="30" customHeight="1">
      <c r="A1123" s="503" t="s">
        <v>80</v>
      </c>
      <c r="B1123" s="503"/>
      <c r="C1123" s="503"/>
      <c r="D1123" s="103">
        <v>40</v>
      </c>
      <c r="E1123" s="128"/>
      <c r="F1123" s="128"/>
      <c r="G1123" s="128"/>
      <c r="H1123" s="128"/>
      <c r="I1123" s="373"/>
    </row>
    <row r="1124" spans="1:10" s="9" customFormat="1" ht="30" customHeight="1">
      <c r="A1124" s="434" t="s">
        <v>27</v>
      </c>
      <c r="B1124" s="111">
        <v>50</v>
      </c>
      <c r="C1124" s="111">
        <v>50</v>
      </c>
      <c r="D1124" s="54">
        <v>50</v>
      </c>
      <c r="E1124" s="56">
        <v>1.8</v>
      </c>
      <c r="F1124" s="56">
        <v>0.3</v>
      </c>
      <c r="G1124" s="56">
        <v>23.5</v>
      </c>
      <c r="H1124" s="55">
        <v>101.30000000000001</v>
      </c>
      <c r="I1124" s="374"/>
      <c r="J1124" s="126"/>
    </row>
    <row r="1125" spans="1:17" s="9" customFormat="1" ht="30" customHeight="1">
      <c r="A1125" s="544" t="s">
        <v>24</v>
      </c>
      <c r="B1125" s="544"/>
      <c r="C1125" s="544"/>
      <c r="D1125" s="544"/>
      <c r="E1125" s="137">
        <f>++E1062+E1017</f>
        <v>43.056666666666665</v>
      </c>
      <c r="F1125" s="137">
        <f>++F1062+F1017</f>
        <v>46.785</v>
      </c>
      <c r="G1125" s="137">
        <f>++G1062+G1017</f>
        <v>199.63666666666666</v>
      </c>
      <c r="H1125" s="137">
        <f>++H1062+H1017</f>
        <v>1393.9716666666668</v>
      </c>
      <c r="I1125" s="393"/>
      <c r="N1125" s="80"/>
      <c r="O1125" s="80"/>
      <c r="P1125" s="80"/>
      <c r="Q1125" s="80"/>
    </row>
    <row r="1126" spans="1:9" s="9" customFormat="1" ht="30" customHeight="1">
      <c r="A1126" s="559" t="s">
        <v>110</v>
      </c>
      <c r="B1126" s="559"/>
      <c r="C1126" s="559"/>
      <c r="D1126" s="559"/>
      <c r="E1126" s="559"/>
      <c r="F1126" s="559"/>
      <c r="G1126" s="559"/>
      <c r="H1126" s="559"/>
      <c r="I1126" s="559"/>
    </row>
    <row r="1127" spans="1:10" s="9" customFormat="1" ht="30" customHeight="1">
      <c r="A1127" s="513" t="s">
        <v>0</v>
      </c>
      <c r="B1127" s="512" t="s">
        <v>6</v>
      </c>
      <c r="C1127" s="512" t="s">
        <v>7</v>
      </c>
      <c r="D1127" s="513" t="s">
        <v>5</v>
      </c>
      <c r="E1127" s="513"/>
      <c r="F1127" s="513"/>
      <c r="G1127" s="513"/>
      <c r="H1127" s="513"/>
      <c r="I1127" s="513"/>
      <c r="J1127" s="126"/>
    </row>
    <row r="1128" spans="1:17" s="9" customFormat="1" ht="30" customHeight="1">
      <c r="A1128" s="513"/>
      <c r="B1128" s="512"/>
      <c r="C1128" s="512"/>
      <c r="D1128" s="419" t="s">
        <v>8</v>
      </c>
      <c r="E1128" s="418" t="s">
        <v>1</v>
      </c>
      <c r="F1128" s="418" t="s">
        <v>2</v>
      </c>
      <c r="G1128" s="418" t="s">
        <v>9</v>
      </c>
      <c r="H1128" s="417" t="s">
        <v>3</v>
      </c>
      <c r="I1128" s="420" t="s">
        <v>211</v>
      </c>
      <c r="N1128" s="80"/>
      <c r="O1128" s="80"/>
      <c r="P1128" s="80"/>
      <c r="Q1128" s="80"/>
    </row>
    <row r="1129" spans="1:17" s="9" customFormat="1" ht="30" customHeight="1">
      <c r="A1129" s="516" t="s">
        <v>112</v>
      </c>
      <c r="B1129" s="516"/>
      <c r="C1129" s="516"/>
      <c r="D1129" s="167">
        <f>40+205+D1140+D1148</f>
        <v>595</v>
      </c>
      <c r="E1129" s="127">
        <f>E1130+E1133+E1140+E1148+E1149+E1151</f>
        <v>17.999999999999996</v>
      </c>
      <c r="F1129" s="127">
        <f>F1130+F1133+F1140+F1148+F1149+F1151</f>
        <v>21.7</v>
      </c>
      <c r="G1129" s="127">
        <f>G1130+G1133+G1140+G1148+G1149+G1151</f>
        <v>95.10000000000001</v>
      </c>
      <c r="H1129" s="127">
        <f>H1130+H1133+H1140+H1148+H1149+H1151</f>
        <v>647.1</v>
      </c>
      <c r="I1129" s="372"/>
      <c r="J1129" s="80"/>
      <c r="N1129" s="80"/>
      <c r="O1129" s="80"/>
      <c r="P1129" s="80"/>
      <c r="Q1129" s="80"/>
    </row>
    <row r="1130" spans="1:9" s="9" customFormat="1" ht="30" customHeight="1">
      <c r="A1130" s="503" t="s">
        <v>254</v>
      </c>
      <c r="B1130" s="503"/>
      <c r="C1130" s="503"/>
      <c r="D1130" s="195" t="s">
        <v>168</v>
      </c>
      <c r="E1130" s="56">
        <v>1.6</v>
      </c>
      <c r="F1130" s="56">
        <v>7.4</v>
      </c>
      <c r="G1130" s="56">
        <v>13.2</v>
      </c>
      <c r="H1130" s="55">
        <f>G1130*4+F1130*9+E1130*4</f>
        <v>125.80000000000001</v>
      </c>
      <c r="I1130" s="374" t="s">
        <v>255</v>
      </c>
    </row>
    <row r="1131" spans="1:17" s="9" customFormat="1" ht="30" customHeight="1">
      <c r="A1131" s="67" t="s">
        <v>138</v>
      </c>
      <c r="B1131" s="44">
        <v>30</v>
      </c>
      <c r="C1131" s="44">
        <v>30</v>
      </c>
      <c r="D1131" s="44"/>
      <c r="E1131" s="128"/>
      <c r="F1131" s="128"/>
      <c r="G1131" s="196"/>
      <c r="H1131" s="197"/>
      <c r="I1131" s="373"/>
      <c r="N1131" s="80"/>
      <c r="O1131" s="80"/>
      <c r="P1131" s="80"/>
      <c r="Q1131" s="80"/>
    </row>
    <row r="1132" spans="1:11" s="9" customFormat="1" ht="30" customHeight="1">
      <c r="A1132" s="67" t="s">
        <v>19</v>
      </c>
      <c r="B1132" s="44">
        <v>10</v>
      </c>
      <c r="C1132" s="44">
        <v>10</v>
      </c>
      <c r="D1132" s="44"/>
      <c r="E1132" s="128"/>
      <c r="F1132" s="128"/>
      <c r="G1132" s="128"/>
      <c r="H1132" s="168"/>
      <c r="I1132" s="373"/>
      <c r="K1132" s="1" t="s">
        <v>54</v>
      </c>
    </row>
    <row r="1133" spans="1:17" s="9" customFormat="1" ht="30" customHeight="1">
      <c r="A1133" s="501" t="s">
        <v>463</v>
      </c>
      <c r="B1133" s="501"/>
      <c r="C1133" s="501"/>
      <c r="D1133" s="54" t="s">
        <v>464</v>
      </c>
      <c r="E1133" s="56">
        <v>11.2</v>
      </c>
      <c r="F1133" s="56">
        <v>10.7</v>
      </c>
      <c r="G1133" s="56">
        <v>34</v>
      </c>
      <c r="H1133" s="55">
        <f>E1133*4+F1133*9+G1133*4</f>
        <v>277.1</v>
      </c>
      <c r="I1133" s="261" t="s">
        <v>465</v>
      </c>
      <c r="K1133" s="347" t="s">
        <v>176</v>
      </c>
      <c r="L1133" s="9">
        <f>+D1212+D1151</f>
        <v>90</v>
      </c>
      <c r="N1133" s="80"/>
      <c r="O1133" s="80"/>
      <c r="P1133" s="80"/>
      <c r="Q1133" s="80"/>
    </row>
    <row r="1134" spans="1:17" s="9" customFormat="1" ht="30" customHeight="1">
      <c r="A1134" s="66" t="s">
        <v>503</v>
      </c>
      <c r="B1134" s="168">
        <v>62</v>
      </c>
      <c r="C1134" s="168">
        <v>62</v>
      </c>
      <c r="D1134" s="111"/>
      <c r="E1134" s="56"/>
      <c r="F1134" s="56"/>
      <c r="G1134" s="56"/>
      <c r="H1134" s="56"/>
      <c r="I1134" s="461"/>
      <c r="K1134" s="347" t="s">
        <v>136</v>
      </c>
      <c r="L1134" s="6">
        <f>+D1210+C1131+D1149</f>
        <v>120</v>
      </c>
      <c r="N1134" s="80"/>
      <c r="O1134" s="80"/>
      <c r="P1134" s="80"/>
      <c r="Q1134" s="80"/>
    </row>
    <row r="1135" spans="1:17" s="9" customFormat="1" ht="30" customHeight="1">
      <c r="A1135" s="113" t="s">
        <v>69</v>
      </c>
      <c r="B1135" s="165">
        <f>B1134*6</f>
        <v>372</v>
      </c>
      <c r="C1135" s="165">
        <f>C1134*6</f>
        <v>372</v>
      </c>
      <c r="D1135" s="49"/>
      <c r="E1135" s="26"/>
      <c r="F1135" s="26"/>
      <c r="G1135" s="26"/>
      <c r="H1135" s="30"/>
      <c r="I1135" s="261"/>
      <c r="K1135" s="105" t="s">
        <v>162</v>
      </c>
      <c r="L1135" s="18"/>
      <c r="N1135" s="80"/>
      <c r="O1135" s="80"/>
      <c r="P1135" s="80"/>
      <c r="Q1135" s="80"/>
    </row>
    <row r="1136" spans="1:17" s="9" customFormat="1" ht="30" customHeight="1">
      <c r="A1136" s="113" t="s">
        <v>466</v>
      </c>
      <c r="B1136" s="168"/>
      <c r="C1136" s="168">
        <v>175</v>
      </c>
      <c r="D1136" s="49"/>
      <c r="E1136" s="49"/>
      <c r="F1136" s="49"/>
      <c r="G1136" s="49"/>
      <c r="H1136" s="44"/>
      <c r="I1136" s="340"/>
      <c r="J1136" s="80"/>
      <c r="K1136" s="347" t="s">
        <v>72</v>
      </c>
      <c r="L1136" s="18"/>
      <c r="N1136" s="80"/>
      <c r="O1136" s="80"/>
      <c r="P1136" s="80"/>
      <c r="Q1136" s="80"/>
    </row>
    <row r="1137" spans="1:17" s="9" customFormat="1" ht="30" customHeight="1">
      <c r="A1137" s="67" t="s">
        <v>19</v>
      </c>
      <c r="B1137" s="44">
        <v>10</v>
      </c>
      <c r="C1137" s="44">
        <v>10</v>
      </c>
      <c r="D1137" s="49"/>
      <c r="E1137" s="49"/>
      <c r="F1137" s="49"/>
      <c r="G1137" s="49"/>
      <c r="H1137" s="44"/>
      <c r="I1137" s="496"/>
      <c r="K1137" s="347" t="s">
        <v>177</v>
      </c>
      <c r="L1137" s="18">
        <f>C1134</f>
        <v>62</v>
      </c>
      <c r="N1137" s="80"/>
      <c r="O1137" s="80"/>
      <c r="P1137" s="80"/>
      <c r="Q1137" s="80"/>
    </row>
    <row r="1138" spans="1:17" s="9" customFormat="1" ht="30" customHeight="1">
      <c r="A1138" s="113" t="s">
        <v>288</v>
      </c>
      <c r="B1138" s="168">
        <v>17</v>
      </c>
      <c r="C1138" s="168">
        <v>15</v>
      </c>
      <c r="D1138" s="49"/>
      <c r="E1138" s="49"/>
      <c r="F1138" s="49"/>
      <c r="G1138" s="49"/>
      <c r="H1138" s="44"/>
      <c r="I1138" s="340"/>
      <c r="J1138" s="126"/>
      <c r="K1138" s="105" t="s">
        <v>28</v>
      </c>
      <c r="L1138" s="18">
        <f>C1180+C1155+C1195</f>
        <v>198</v>
      </c>
      <c r="N1138" s="80"/>
      <c r="O1138" s="80"/>
      <c r="P1138" s="80"/>
      <c r="Q1138" s="80"/>
    </row>
    <row r="1139" spans="1:17" s="9" customFormat="1" ht="30" customHeight="1">
      <c r="A1139" s="67" t="s">
        <v>467</v>
      </c>
      <c r="B1139" s="44">
        <v>5</v>
      </c>
      <c r="C1139" s="44">
        <v>5</v>
      </c>
      <c r="D1139" s="49"/>
      <c r="E1139" s="49"/>
      <c r="F1139" s="49"/>
      <c r="G1139" s="49"/>
      <c r="H1139" s="44"/>
      <c r="I1139" s="496"/>
      <c r="K1139" s="347" t="s">
        <v>353</v>
      </c>
      <c r="L1139" s="18">
        <f>+C1160+C1161+C1178+C1184+C1185++C1189+C1175++C1186+C1199+C1200</f>
        <v>155.7</v>
      </c>
      <c r="N1139" s="80"/>
      <c r="O1139" s="80"/>
      <c r="P1139" s="80"/>
      <c r="Q1139" s="80"/>
    </row>
    <row r="1140" spans="1:17" s="9" customFormat="1" ht="30" customHeight="1">
      <c r="A1140" s="501" t="s">
        <v>501</v>
      </c>
      <c r="B1140" s="501"/>
      <c r="C1140" s="501"/>
      <c r="D1140" s="24">
        <v>200</v>
      </c>
      <c r="E1140" s="26">
        <v>3.4</v>
      </c>
      <c r="F1140" s="24">
        <v>3.2</v>
      </c>
      <c r="G1140" s="24">
        <v>21.2</v>
      </c>
      <c r="H1140" s="201">
        <f>E1140*4+F1140*9+G1140*4</f>
        <v>127.19999999999999</v>
      </c>
      <c r="I1140" s="260" t="s">
        <v>502</v>
      </c>
      <c r="K1140" s="105" t="s">
        <v>29</v>
      </c>
      <c r="L1140" s="9">
        <f>D1148</f>
        <v>150</v>
      </c>
      <c r="N1140" s="80"/>
      <c r="O1140" s="80"/>
      <c r="P1140" s="80"/>
      <c r="Q1140" s="80"/>
    </row>
    <row r="1141" spans="1:11" s="9" customFormat="1" ht="30" customHeight="1">
      <c r="A1141" s="71" t="s">
        <v>60</v>
      </c>
      <c r="B1141" s="45">
        <v>5</v>
      </c>
      <c r="C1141" s="45">
        <v>5</v>
      </c>
      <c r="D1141" s="44"/>
      <c r="E1141" s="49"/>
      <c r="F1141" s="49"/>
      <c r="G1141" s="49"/>
      <c r="H1141" s="45"/>
      <c r="I1141" s="430"/>
      <c r="K1141" s="105" t="s">
        <v>178</v>
      </c>
    </row>
    <row r="1142" spans="1:17" s="9" customFormat="1" ht="30" customHeight="1">
      <c r="A1142" s="119" t="s">
        <v>56</v>
      </c>
      <c r="B1142" s="111">
        <v>130</v>
      </c>
      <c r="C1142" s="111">
        <v>130</v>
      </c>
      <c r="D1142" s="44"/>
      <c r="E1142" s="44"/>
      <c r="F1142" s="44"/>
      <c r="G1142" s="44"/>
      <c r="H1142" s="45"/>
      <c r="I1142" s="262"/>
      <c r="K1142" s="347" t="s">
        <v>354</v>
      </c>
      <c r="L1142" s="6">
        <f>C1147</f>
        <v>15</v>
      </c>
      <c r="N1142" s="80"/>
      <c r="O1142" s="80"/>
      <c r="P1142" s="80"/>
      <c r="Q1142" s="80"/>
    </row>
    <row r="1143" spans="1:12" s="9" customFormat="1" ht="30" customHeight="1">
      <c r="A1143" s="73" t="s">
        <v>41</v>
      </c>
      <c r="B1143" s="243">
        <f>B1142*460/1000</f>
        <v>59.8</v>
      </c>
      <c r="C1143" s="243">
        <f>C1142*460/1000</f>
        <v>59.8</v>
      </c>
      <c r="D1143" s="194"/>
      <c r="E1143" s="56"/>
      <c r="F1143" s="56"/>
      <c r="G1143" s="56"/>
      <c r="H1143" s="55"/>
      <c r="I1143" s="373"/>
      <c r="K1143" s="347" t="s">
        <v>395</v>
      </c>
      <c r="L1143" s="9">
        <f>D1202</f>
        <v>200</v>
      </c>
    </row>
    <row r="1144" spans="1:11" s="9" customFormat="1" ht="30" customHeight="1">
      <c r="A1144" s="73" t="s">
        <v>42</v>
      </c>
      <c r="B1144" s="328">
        <f>B1142*120/1000</f>
        <v>15.6</v>
      </c>
      <c r="C1144" s="328">
        <f>C1142*120/1000</f>
        <v>15.6</v>
      </c>
      <c r="D1144" s="194"/>
      <c r="E1144" s="56"/>
      <c r="F1144" s="56"/>
      <c r="G1144" s="56"/>
      <c r="H1144" s="55"/>
      <c r="I1144" s="373"/>
      <c r="K1144" s="105" t="s">
        <v>31</v>
      </c>
    </row>
    <row r="1145" spans="1:12" s="9" customFormat="1" ht="30" customHeight="1">
      <c r="A1145" s="230" t="s">
        <v>156</v>
      </c>
      <c r="B1145" s="231">
        <f>B1142-B1143</f>
        <v>70.2</v>
      </c>
      <c r="C1145" s="231">
        <f>C1142-C1143</f>
        <v>70.2</v>
      </c>
      <c r="D1145" s="232"/>
      <c r="E1145" s="233"/>
      <c r="F1145" s="233"/>
      <c r="G1145" s="233"/>
      <c r="H1145" s="234"/>
      <c r="I1145" s="377"/>
      <c r="K1145" s="105" t="s">
        <v>77</v>
      </c>
      <c r="L1145" s="18"/>
    </row>
    <row r="1146" spans="1:17" s="9" customFormat="1" ht="30" customHeight="1">
      <c r="A1146" s="230" t="s">
        <v>157</v>
      </c>
      <c r="B1146" s="235">
        <f>B1142-B1144</f>
        <v>114.4</v>
      </c>
      <c r="C1146" s="235">
        <f>C1142-C1144</f>
        <v>114.4</v>
      </c>
      <c r="D1146" s="232"/>
      <c r="E1146" s="233"/>
      <c r="F1146" s="233"/>
      <c r="G1146" s="233"/>
      <c r="H1146" s="234"/>
      <c r="I1146" s="377"/>
      <c r="K1146" s="347" t="s">
        <v>39</v>
      </c>
      <c r="L1146" s="18">
        <f>C1141</f>
        <v>5</v>
      </c>
      <c r="N1146" s="80"/>
      <c r="O1146" s="80"/>
      <c r="P1146" s="80"/>
      <c r="Q1146" s="80"/>
    </row>
    <row r="1147" spans="1:11" s="9" customFormat="1" ht="30" customHeight="1">
      <c r="A1147" s="119" t="s">
        <v>4</v>
      </c>
      <c r="B1147" s="111">
        <v>15</v>
      </c>
      <c r="C1147" s="111">
        <v>15</v>
      </c>
      <c r="D1147" s="24"/>
      <c r="E1147" s="24"/>
      <c r="F1147" s="24"/>
      <c r="G1147" s="24"/>
      <c r="H1147" s="30"/>
      <c r="I1147" s="262"/>
      <c r="K1147" s="105" t="s">
        <v>179</v>
      </c>
    </row>
    <row r="1148" spans="1:12" s="9" customFormat="1" ht="30" customHeight="1">
      <c r="A1148" s="502" t="s">
        <v>232</v>
      </c>
      <c r="B1148" s="502"/>
      <c r="C1148" s="502"/>
      <c r="D1148" s="31">
        <v>150</v>
      </c>
      <c r="E1148" s="32">
        <v>0.2</v>
      </c>
      <c r="F1148" s="32">
        <v>0</v>
      </c>
      <c r="G1148" s="32">
        <v>8.6</v>
      </c>
      <c r="H1148" s="201">
        <f>E1148*4+F1148*9+G1148*4</f>
        <v>35.199999999999996</v>
      </c>
      <c r="I1148" s="261" t="s">
        <v>233</v>
      </c>
      <c r="K1148" s="105" t="s">
        <v>32</v>
      </c>
      <c r="L1148" s="129"/>
    </row>
    <row r="1149" spans="1:17" s="9" customFormat="1" ht="30" customHeight="1">
      <c r="A1149" s="435" t="s">
        <v>20</v>
      </c>
      <c r="B1149" s="164">
        <v>20</v>
      </c>
      <c r="C1149" s="164">
        <v>20</v>
      </c>
      <c r="D1149" s="103">
        <v>20</v>
      </c>
      <c r="E1149" s="110">
        <v>0.9</v>
      </c>
      <c r="F1149" s="110">
        <v>0.2</v>
      </c>
      <c r="G1149" s="110">
        <v>8.7</v>
      </c>
      <c r="H1149" s="141">
        <v>40.5</v>
      </c>
      <c r="I1149" s="374"/>
      <c r="K1149" s="105" t="s">
        <v>180</v>
      </c>
      <c r="L1149" s="81">
        <f>C1173+C1191</f>
        <v>96</v>
      </c>
      <c r="N1149" s="155"/>
      <c r="O1149" s="155"/>
      <c r="P1149" s="155"/>
      <c r="Q1149" s="155"/>
    </row>
    <row r="1150" spans="1:12" s="9" customFormat="1" ht="30" customHeight="1">
      <c r="A1150" s="503" t="s">
        <v>80</v>
      </c>
      <c r="B1150" s="503"/>
      <c r="C1150" s="503"/>
      <c r="D1150" s="103">
        <v>20</v>
      </c>
      <c r="E1150" s="128"/>
      <c r="F1150" s="128"/>
      <c r="G1150" s="128"/>
      <c r="H1150" s="128"/>
      <c r="I1150" s="373"/>
      <c r="K1150" s="347" t="s">
        <v>182</v>
      </c>
      <c r="L1150" s="80"/>
    </row>
    <row r="1151" spans="1:12" s="9" customFormat="1" ht="30" customHeight="1">
      <c r="A1151" s="434" t="s">
        <v>27</v>
      </c>
      <c r="B1151" s="111">
        <v>20</v>
      </c>
      <c r="C1151" s="111">
        <v>20</v>
      </c>
      <c r="D1151" s="24">
        <v>20</v>
      </c>
      <c r="E1151" s="26">
        <v>0.7</v>
      </c>
      <c r="F1151" s="26">
        <v>0.2</v>
      </c>
      <c r="G1151" s="26">
        <v>9.4</v>
      </c>
      <c r="H1151" s="30">
        <v>41.3</v>
      </c>
      <c r="I1151" s="374"/>
      <c r="K1151" s="105" t="s">
        <v>181</v>
      </c>
      <c r="L1151" s="80"/>
    </row>
    <row r="1152" spans="1:12" s="9" customFormat="1" ht="30" customHeight="1">
      <c r="A1152" s="516" t="s">
        <v>63</v>
      </c>
      <c r="B1152" s="516"/>
      <c r="C1152" s="516"/>
      <c r="D1152" s="167">
        <f>D1154+270+D1190+D1202+D1153</f>
        <v>810</v>
      </c>
      <c r="E1152" s="53">
        <f>E1171+E1190+E1202+E1210+E1212+E1153</f>
        <v>32.209999999999994</v>
      </c>
      <c r="F1152" s="53">
        <f>F1171+F1190+F1202+F1210+F1212+F1153</f>
        <v>27.67</v>
      </c>
      <c r="G1152" s="53">
        <f>G1171+G1190+G1202+G1210+G1212+G1153</f>
        <v>118.44</v>
      </c>
      <c r="H1152" s="53">
        <f>H1171+H1190+H1202+H1210+H1212+H1153</f>
        <v>847.9900000000001</v>
      </c>
      <c r="I1152" s="379"/>
      <c r="K1152" s="347" t="s">
        <v>183</v>
      </c>
      <c r="L1152" s="18"/>
    </row>
    <row r="1153" spans="1:12" s="9" customFormat="1" ht="30" customHeight="1">
      <c r="A1153" s="501" t="s">
        <v>499</v>
      </c>
      <c r="B1153" s="501"/>
      <c r="C1153" s="501"/>
      <c r="D1153" s="54">
        <v>40</v>
      </c>
      <c r="E1153" s="26">
        <v>5.1</v>
      </c>
      <c r="F1153" s="26">
        <v>4.05</v>
      </c>
      <c r="G1153" s="26">
        <v>0.25</v>
      </c>
      <c r="H1153" s="30">
        <f>E1153*4+F1153*9+G1153*4</f>
        <v>57.849999999999994</v>
      </c>
      <c r="I1153" s="374" t="s">
        <v>500</v>
      </c>
      <c r="K1153" s="352" t="s">
        <v>184</v>
      </c>
      <c r="L1153" s="129">
        <f>C1142</f>
        <v>130</v>
      </c>
    </row>
    <row r="1154" spans="1:11" s="9" customFormat="1" ht="30" customHeight="1">
      <c r="A1154" s="504" t="s">
        <v>403</v>
      </c>
      <c r="B1154" s="504"/>
      <c r="C1154" s="504"/>
      <c r="D1154" s="24">
        <v>100</v>
      </c>
      <c r="E1154" s="26">
        <v>1.7</v>
      </c>
      <c r="F1154" s="26">
        <v>5</v>
      </c>
      <c r="G1154" s="26">
        <v>5.7</v>
      </c>
      <c r="H1154" s="30">
        <f>G1154*4+F1154*9+E1154*4</f>
        <v>74.6</v>
      </c>
      <c r="I1154" s="261" t="s">
        <v>404</v>
      </c>
      <c r="K1154" s="352" t="s">
        <v>185</v>
      </c>
    </row>
    <row r="1155" spans="1:11" s="9" customFormat="1" ht="30" customHeight="1">
      <c r="A1155" s="71" t="s">
        <v>12</v>
      </c>
      <c r="B1155" s="45">
        <f>C1155*1.33</f>
        <v>63.84</v>
      </c>
      <c r="C1155" s="45">
        <v>48</v>
      </c>
      <c r="D1155" s="45"/>
      <c r="E1155" s="44"/>
      <c r="F1155" s="44"/>
      <c r="G1155" s="44"/>
      <c r="H1155" s="44"/>
      <c r="I1155" s="414"/>
      <c r="K1155" s="347" t="s">
        <v>186</v>
      </c>
    </row>
    <row r="1156" spans="1:12" s="9" customFormat="1" ht="30" customHeight="1">
      <c r="A1156" s="71" t="s">
        <v>13</v>
      </c>
      <c r="B1156" s="45">
        <f>C1156*1.43</f>
        <v>68.64</v>
      </c>
      <c r="C1156" s="45">
        <v>48</v>
      </c>
      <c r="D1156" s="45"/>
      <c r="E1156" s="26"/>
      <c r="F1156" s="26"/>
      <c r="G1156" s="26"/>
      <c r="H1156" s="30"/>
      <c r="I1156" s="414"/>
      <c r="K1156" s="347" t="s">
        <v>187</v>
      </c>
      <c r="L1156" s="18">
        <f>B1188</f>
        <v>5</v>
      </c>
    </row>
    <row r="1157" spans="1:12" s="9" customFormat="1" ht="30" customHeight="1">
      <c r="A1157" s="71" t="s">
        <v>14</v>
      </c>
      <c r="B1157" s="45">
        <f>C1157*1.54</f>
        <v>73.92</v>
      </c>
      <c r="C1157" s="45">
        <v>48</v>
      </c>
      <c r="D1157" s="45"/>
      <c r="E1157" s="45"/>
      <c r="F1157" s="44"/>
      <c r="G1157" s="44"/>
      <c r="H1157" s="44"/>
      <c r="I1157" s="340"/>
      <c r="K1157" s="347" t="s">
        <v>188</v>
      </c>
      <c r="L1157" s="18">
        <f>C1138</f>
        <v>15</v>
      </c>
    </row>
    <row r="1158" spans="1:12" s="9" customFormat="1" ht="30" customHeight="1">
      <c r="A1158" s="67" t="s">
        <v>15</v>
      </c>
      <c r="B1158" s="45">
        <f>C1158*1.67</f>
        <v>80.16</v>
      </c>
      <c r="C1158" s="45">
        <v>48</v>
      </c>
      <c r="D1158" s="45"/>
      <c r="E1158" s="44"/>
      <c r="F1158" s="44"/>
      <c r="G1158" s="44"/>
      <c r="H1158" s="44"/>
      <c r="I1158" s="340"/>
      <c r="K1158" s="352" t="s">
        <v>33</v>
      </c>
      <c r="L1158" s="181">
        <f>B1187+C1132+C1137+C1139</f>
        <v>30</v>
      </c>
    </row>
    <row r="1159" spans="1:12" s="9" customFormat="1" ht="30" customHeight="1">
      <c r="A1159" s="166" t="s">
        <v>291</v>
      </c>
      <c r="B1159" s="45"/>
      <c r="C1159" s="30">
        <v>45</v>
      </c>
      <c r="D1159" s="45"/>
      <c r="E1159" s="44"/>
      <c r="F1159" s="44"/>
      <c r="G1159" s="44"/>
      <c r="H1159" s="45"/>
      <c r="I1159" s="340"/>
      <c r="K1159" s="105" t="s">
        <v>34</v>
      </c>
      <c r="L1159" s="81">
        <f>C1164+B1193++C1201</f>
        <v>18</v>
      </c>
    </row>
    <row r="1160" spans="1:12" s="9" customFormat="1" ht="30" customHeight="1">
      <c r="A1160" s="71" t="s">
        <v>405</v>
      </c>
      <c r="B1160" s="45">
        <f>C1160*1.67</f>
        <v>36.739999999999995</v>
      </c>
      <c r="C1160" s="45">
        <v>22</v>
      </c>
      <c r="D1160" s="45"/>
      <c r="E1160" s="45"/>
      <c r="F1160" s="45"/>
      <c r="G1160" s="45"/>
      <c r="H1160" s="45"/>
      <c r="I1160" s="340"/>
      <c r="K1160" s="105" t="s">
        <v>189</v>
      </c>
      <c r="L1160" s="81">
        <f>B1177+D1153</f>
        <v>41.2</v>
      </c>
    </row>
    <row r="1161" spans="1:11" s="9" customFormat="1" ht="30" customHeight="1">
      <c r="A1161" s="71" t="s">
        <v>406</v>
      </c>
      <c r="B1161" s="45">
        <f>C1161*1.25</f>
        <v>41.25</v>
      </c>
      <c r="C1161" s="45">
        <v>33</v>
      </c>
      <c r="D1161" s="45"/>
      <c r="E1161" s="45"/>
      <c r="F1161" s="45"/>
      <c r="G1161" s="44"/>
      <c r="H1161" s="44"/>
      <c r="I1161" s="340"/>
      <c r="K1161" s="105" t="s">
        <v>369</v>
      </c>
    </row>
    <row r="1162" spans="1:12" s="9" customFormat="1" ht="30" customHeight="1">
      <c r="A1162" s="67" t="s">
        <v>16</v>
      </c>
      <c r="B1162" s="45">
        <f>C1162*1.33</f>
        <v>43.89</v>
      </c>
      <c r="C1162" s="45">
        <v>33</v>
      </c>
      <c r="D1162" s="45"/>
      <c r="E1162" s="44"/>
      <c r="F1162" s="44"/>
      <c r="G1162" s="44"/>
      <c r="H1162" s="44"/>
      <c r="I1162" s="340"/>
      <c r="K1162" s="105" t="s">
        <v>190</v>
      </c>
      <c r="L1162" s="9">
        <v>1.2</v>
      </c>
    </row>
    <row r="1163" spans="1:12" s="9" customFormat="1" ht="30" customHeight="1">
      <c r="A1163" s="166" t="s">
        <v>407</v>
      </c>
      <c r="B1163" s="45"/>
      <c r="C1163" s="30">
        <v>30</v>
      </c>
      <c r="D1163" s="45"/>
      <c r="E1163" s="44"/>
      <c r="F1163" s="44"/>
      <c r="G1163" s="44"/>
      <c r="H1163" s="44"/>
      <c r="I1163" s="340"/>
      <c r="K1163" s="347" t="s">
        <v>191</v>
      </c>
      <c r="L1163" s="9">
        <v>3</v>
      </c>
    </row>
    <row r="1164" spans="1:12" s="9" customFormat="1" ht="30" customHeight="1">
      <c r="A1164" s="67" t="s">
        <v>11</v>
      </c>
      <c r="B1164" s="45">
        <v>5</v>
      </c>
      <c r="C1164" s="45">
        <v>5</v>
      </c>
      <c r="D1164" s="45"/>
      <c r="E1164" s="44"/>
      <c r="F1164" s="44"/>
      <c r="G1164" s="44"/>
      <c r="H1164" s="44"/>
      <c r="I1164" s="340"/>
      <c r="K1164" s="80"/>
      <c r="L1164" s="80"/>
    </row>
    <row r="1165" spans="1:17" s="9" customFormat="1" ht="30" customHeight="1">
      <c r="A1165" s="506" t="s">
        <v>76</v>
      </c>
      <c r="B1165" s="506"/>
      <c r="C1165" s="506"/>
      <c r="D1165" s="506"/>
      <c r="E1165" s="506"/>
      <c r="F1165" s="506"/>
      <c r="G1165" s="506"/>
      <c r="H1165" s="506"/>
      <c r="I1165" s="506"/>
      <c r="N1165" s="80"/>
      <c r="O1165" s="80"/>
      <c r="P1165" s="80"/>
      <c r="Q1165" s="80"/>
    </row>
    <row r="1166" spans="1:17" s="9" customFormat="1" ht="30" customHeight="1">
      <c r="A1166" s="502" t="s">
        <v>306</v>
      </c>
      <c r="B1166" s="502"/>
      <c r="C1166" s="502"/>
      <c r="D1166" s="184">
        <v>100</v>
      </c>
      <c r="E1166" s="110">
        <v>0.6666666666666666</v>
      </c>
      <c r="F1166" s="110">
        <v>0.3333333333333333</v>
      </c>
      <c r="G1166" s="110">
        <v>2.3333333333333335</v>
      </c>
      <c r="H1166" s="55">
        <f>G1166*4+F1166*9+E1166*4</f>
        <v>15</v>
      </c>
      <c r="I1166" s="360" t="s">
        <v>307</v>
      </c>
      <c r="J1166" s="1"/>
      <c r="N1166" s="80"/>
      <c r="O1166" s="80"/>
      <c r="P1166" s="80"/>
      <c r="Q1166" s="80"/>
    </row>
    <row r="1167" spans="1:10" s="9" customFormat="1" ht="30" customHeight="1">
      <c r="A1167" s="71" t="s">
        <v>102</v>
      </c>
      <c r="B1167" s="115">
        <f>C1167*1.02</f>
        <v>51</v>
      </c>
      <c r="C1167" s="75">
        <v>50</v>
      </c>
      <c r="D1167" s="74"/>
      <c r="E1167" s="110"/>
      <c r="F1167" s="110"/>
      <c r="G1167" s="110"/>
      <c r="H1167" s="110"/>
      <c r="I1167" s="360"/>
      <c r="J1167" s="1"/>
    </row>
    <row r="1168" spans="1:17" s="9" customFormat="1" ht="30" customHeight="1">
      <c r="A1168" s="72" t="s">
        <v>172</v>
      </c>
      <c r="B1168" s="115">
        <f>C1168*1.18</f>
        <v>59</v>
      </c>
      <c r="C1168" s="75">
        <v>50</v>
      </c>
      <c r="D1168" s="74"/>
      <c r="E1168" s="110"/>
      <c r="F1168" s="110"/>
      <c r="G1168" s="110"/>
      <c r="H1168" s="103"/>
      <c r="I1168" s="360"/>
      <c r="J1168" s="1"/>
      <c r="N1168" s="80"/>
      <c r="O1168" s="80"/>
      <c r="P1168" s="80"/>
      <c r="Q1168" s="80"/>
    </row>
    <row r="1169" spans="1:10" s="9" customFormat="1" ht="30" customHeight="1">
      <c r="A1169" s="72" t="s">
        <v>101</v>
      </c>
      <c r="B1169" s="115">
        <f>C1169*1.02</f>
        <v>51</v>
      </c>
      <c r="C1169" s="75">
        <v>50</v>
      </c>
      <c r="D1169" s="184"/>
      <c r="E1169" s="110"/>
      <c r="F1169" s="110"/>
      <c r="G1169" s="110"/>
      <c r="H1169" s="110"/>
      <c r="I1169" s="360"/>
      <c r="J1169" s="1"/>
    </row>
    <row r="1170" spans="1:17" s="155" customFormat="1" ht="30" customHeight="1">
      <c r="A1170" s="72" t="s">
        <v>120</v>
      </c>
      <c r="B1170" s="115">
        <f>C1170*1.05</f>
        <v>52.5</v>
      </c>
      <c r="C1170" s="75">
        <v>50</v>
      </c>
      <c r="D1170" s="184"/>
      <c r="E1170" s="110"/>
      <c r="F1170" s="110"/>
      <c r="G1170" s="110"/>
      <c r="H1170" s="141"/>
      <c r="I1170" s="360"/>
      <c r="J1170" s="1"/>
      <c r="K1170" s="9"/>
      <c r="L1170" s="9"/>
      <c r="M1170" s="9"/>
      <c r="N1170" s="80"/>
      <c r="O1170" s="80"/>
      <c r="P1170" s="80"/>
      <c r="Q1170" s="80"/>
    </row>
    <row r="1171" spans="1:17" s="9" customFormat="1" ht="30" customHeight="1">
      <c r="A1171" s="507" t="s">
        <v>234</v>
      </c>
      <c r="B1171" s="507"/>
      <c r="C1171" s="551" t="s">
        <v>141</v>
      </c>
      <c r="D1171" s="551"/>
      <c r="E1171" s="56">
        <v>4.6</v>
      </c>
      <c r="F1171" s="56">
        <v>5.2</v>
      </c>
      <c r="G1171" s="56">
        <v>10.2</v>
      </c>
      <c r="H1171" s="55">
        <f>G1171*4+F1171*9+E1171*4</f>
        <v>106</v>
      </c>
      <c r="I1171" s="261" t="s">
        <v>235</v>
      </c>
      <c r="J1171" s="121"/>
      <c r="K1171" s="126"/>
      <c r="L1171" s="126"/>
      <c r="N1171" s="80"/>
      <c r="O1171" s="80"/>
      <c r="P1171" s="80"/>
      <c r="Q1171" s="80"/>
    </row>
    <row r="1172" spans="1:17" s="9" customFormat="1" ht="30" customHeight="1">
      <c r="A1172" s="222" t="s">
        <v>310</v>
      </c>
      <c r="B1172" s="220"/>
      <c r="C1172" s="142">
        <v>15</v>
      </c>
      <c r="D1172" s="142"/>
      <c r="E1172" s="56"/>
      <c r="F1172" s="56"/>
      <c r="G1172" s="56"/>
      <c r="H1172" s="55"/>
      <c r="I1172" s="374" t="s">
        <v>311</v>
      </c>
      <c r="J1172" s="1"/>
      <c r="N1172" s="80"/>
      <c r="O1172" s="80"/>
      <c r="P1172" s="80"/>
      <c r="Q1172" s="80"/>
    </row>
    <row r="1173" spans="1:17" s="9" customFormat="1" ht="30" customHeight="1">
      <c r="A1173" s="65" t="s">
        <v>90</v>
      </c>
      <c r="B1173" s="33">
        <f>C1173*1.36</f>
        <v>23.12</v>
      </c>
      <c r="C1173" s="5">
        <v>17</v>
      </c>
      <c r="D1173" s="37"/>
      <c r="E1173" s="112"/>
      <c r="F1173" s="112"/>
      <c r="G1173" s="112"/>
      <c r="H1173" s="146"/>
      <c r="I1173" s="381"/>
      <c r="J1173" s="1"/>
      <c r="K1173" s="1"/>
      <c r="L1173" s="1"/>
      <c r="N1173" s="80"/>
      <c r="O1173" s="80"/>
      <c r="P1173" s="80"/>
      <c r="Q1173" s="80"/>
    </row>
    <row r="1174" spans="1:12" s="9" customFormat="1" ht="30" customHeight="1">
      <c r="A1174" s="65" t="s">
        <v>91</v>
      </c>
      <c r="B1174" s="33">
        <f>C1174*1.18</f>
        <v>20.06</v>
      </c>
      <c r="C1174" s="5">
        <f>C1173</f>
        <v>17</v>
      </c>
      <c r="D1174" s="37"/>
      <c r="E1174" s="38"/>
      <c r="F1174" s="38"/>
      <c r="G1174" s="38"/>
      <c r="H1174" s="144"/>
      <c r="I1174" s="379"/>
      <c r="J1174" s="1"/>
      <c r="K1174" s="1"/>
      <c r="L1174" s="1"/>
    </row>
    <row r="1175" spans="1:12" s="9" customFormat="1" ht="30" customHeight="1">
      <c r="A1175" s="64" t="s">
        <v>18</v>
      </c>
      <c r="B1175" s="45">
        <f>C1175*1.19</f>
        <v>1.785</v>
      </c>
      <c r="C1175" s="5">
        <v>1.5</v>
      </c>
      <c r="D1175" s="37"/>
      <c r="E1175" s="38"/>
      <c r="F1175" s="38"/>
      <c r="G1175" s="38"/>
      <c r="H1175" s="144"/>
      <c r="I1175" s="379"/>
      <c r="J1175" s="1"/>
      <c r="K1175" s="1"/>
      <c r="L1175" s="1"/>
    </row>
    <row r="1176" spans="1:12" s="9" customFormat="1" ht="30" customHeight="1">
      <c r="A1176" s="113" t="s">
        <v>69</v>
      </c>
      <c r="B1176" s="128">
        <v>1.5</v>
      </c>
      <c r="C1176" s="5">
        <v>1.5</v>
      </c>
      <c r="D1176" s="37"/>
      <c r="E1176" s="38"/>
      <c r="F1176" s="38"/>
      <c r="G1176" s="38"/>
      <c r="H1176" s="144"/>
      <c r="I1176" s="379"/>
      <c r="J1176" s="82"/>
      <c r="K1176" s="1"/>
      <c r="L1176" s="1"/>
    </row>
    <row r="1177" spans="1:12" s="9" customFormat="1" ht="30" customHeight="1">
      <c r="A1177" s="113" t="s">
        <v>88</v>
      </c>
      <c r="B1177" s="128">
        <v>1.2</v>
      </c>
      <c r="C1177" s="5">
        <v>1.2</v>
      </c>
      <c r="D1177" s="37"/>
      <c r="E1177" s="38"/>
      <c r="F1177" s="38"/>
      <c r="G1177" s="38"/>
      <c r="H1177" s="144"/>
      <c r="I1177" s="379"/>
      <c r="J1177" s="82"/>
      <c r="K1177" s="82"/>
      <c r="L1177" s="82"/>
    </row>
    <row r="1178" spans="1:12" s="9" customFormat="1" ht="30" customHeight="1">
      <c r="A1178" s="64" t="s">
        <v>61</v>
      </c>
      <c r="B1178" s="43">
        <f>C1178*1.25</f>
        <v>66.25</v>
      </c>
      <c r="C1178" s="5">
        <v>53</v>
      </c>
      <c r="D1178" s="44"/>
      <c r="E1178" s="128"/>
      <c r="F1178" s="128"/>
      <c r="G1178" s="128"/>
      <c r="H1178" s="145"/>
      <c r="I1178" s="360"/>
      <c r="J1178" s="1"/>
      <c r="K1178" s="82"/>
      <c r="L1178" s="82"/>
    </row>
    <row r="1179" spans="1:12" s="9" customFormat="1" ht="30" customHeight="1">
      <c r="A1179" s="64" t="s">
        <v>12</v>
      </c>
      <c r="B1179" s="43">
        <f>C1179*1.33</f>
        <v>39.900000000000006</v>
      </c>
      <c r="C1179" s="5">
        <v>30</v>
      </c>
      <c r="D1179" s="44"/>
      <c r="E1179" s="128"/>
      <c r="F1179" s="128"/>
      <c r="G1179" s="132"/>
      <c r="H1179" s="145"/>
      <c r="I1179" s="360"/>
      <c r="J1179" s="82"/>
      <c r="K1179" s="1"/>
      <c r="L1179" s="1"/>
    </row>
    <row r="1180" spans="1:12" s="9" customFormat="1" ht="30" customHeight="1">
      <c r="A1180" s="64" t="s">
        <v>13</v>
      </c>
      <c r="B1180" s="43">
        <f>C1180*1.43</f>
        <v>42.9</v>
      </c>
      <c r="C1180" s="5">
        <v>30</v>
      </c>
      <c r="D1180" s="44"/>
      <c r="E1180" s="128"/>
      <c r="F1180" s="128"/>
      <c r="G1180" s="132"/>
      <c r="H1180" s="145"/>
      <c r="I1180" s="360"/>
      <c r="J1180" s="82"/>
      <c r="K1180" s="82"/>
      <c r="L1180" s="82"/>
    </row>
    <row r="1181" spans="1:12" s="9" customFormat="1" ht="30" customHeight="1">
      <c r="A1181" s="67" t="s">
        <v>14</v>
      </c>
      <c r="B1181" s="43">
        <f>C1181*1.54</f>
        <v>46.2</v>
      </c>
      <c r="C1181" s="5">
        <v>30</v>
      </c>
      <c r="D1181" s="44"/>
      <c r="E1181" s="128"/>
      <c r="F1181" s="128"/>
      <c r="G1181" s="132"/>
      <c r="H1181" s="145"/>
      <c r="I1181" s="360"/>
      <c r="J1181" s="121"/>
      <c r="K1181" s="121"/>
      <c r="L1181" s="121"/>
    </row>
    <row r="1182" spans="1:12" s="9" customFormat="1" ht="30" customHeight="1">
      <c r="A1182" s="67" t="s">
        <v>15</v>
      </c>
      <c r="B1182" s="43">
        <f>C1182*1.67</f>
        <v>50.099999999999994</v>
      </c>
      <c r="C1182" s="5">
        <v>30</v>
      </c>
      <c r="D1182" s="44"/>
      <c r="E1182" s="110"/>
      <c r="F1182" s="110"/>
      <c r="G1182" s="110"/>
      <c r="H1182" s="55"/>
      <c r="I1182" s="374"/>
      <c r="J1182" s="82"/>
      <c r="K1182" s="82"/>
      <c r="L1182" s="82"/>
    </row>
    <row r="1183" spans="1:12" s="9" customFormat="1" ht="30" customHeight="1">
      <c r="A1183" s="64" t="s">
        <v>67</v>
      </c>
      <c r="B1183" s="5">
        <f>C1183*1.25</f>
        <v>12.5</v>
      </c>
      <c r="C1183" s="5">
        <v>10</v>
      </c>
      <c r="D1183" s="44"/>
      <c r="E1183" s="128"/>
      <c r="F1183" s="128"/>
      <c r="G1183" s="128"/>
      <c r="H1183" s="168"/>
      <c r="I1183" s="374"/>
      <c r="J1183" s="82"/>
      <c r="K1183" s="82"/>
      <c r="L1183" s="82"/>
    </row>
    <row r="1184" spans="1:12" s="9" customFormat="1" ht="30" customHeight="1">
      <c r="A1184" s="64" t="s">
        <v>16</v>
      </c>
      <c r="B1184" s="48">
        <f>C1184*1.33</f>
        <v>13.3</v>
      </c>
      <c r="C1184" s="5">
        <v>10</v>
      </c>
      <c r="D1184" s="44"/>
      <c r="E1184" s="128"/>
      <c r="F1184" s="128"/>
      <c r="G1184" s="128"/>
      <c r="H1184" s="168"/>
      <c r="I1184" s="374"/>
      <c r="J1184" s="1"/>
      <c r="K1184" s="82"/>
      <c r="L1184" s="82"/>
    </row>
    <row r="1185" spans="1:12" s="9" customFormat="1" ht="30" customHeight="1">
      <c r="A1185" s="64" t="s">
        <v>18</v>
      </c>
      <c r="B1185" s="45">
        <f>C1185*1.19</f>
        <v>11.899999999999999</v>
      </c>
      <c r="C1185" s="5">
        <v>10</v>
      </c>
      <c r="D1185" s="44"/>
      <c r="E1185" s="128"/>
      <c r="F1185" s="128"/>
      <c r="G1185" s="128"/>
      <c r="H1185" s="168"/>
      <c r="I1185" s="374"/>
      <c r="J1185" s="1"/>
      <c r="K1185" s="1"/>
      <c r="L1185" s="1"/>
    </row>
    <row r="1186" spans="1:12" s="9" customFormat="1" ht="30" customHeight="1">
      <c r="A1186" s="72" t="s">
        <v>58</v>
      </c>
      <c r="B1186" s="44">
        <v>3</v>
      </c>
      <c r="C1186" s="44">
        <v>3</v>
      </c>
      <c r="D1186" s="44"/>
      <c r="E1186" s="128"/>
      <c r="F1186" s="128"/>
      <c r="G1186" s="128"/>
      <c r="H1186" s="168"/>
      <c r="I1186" s="374"/>
      <c r="J1186" s="80"/>
      <c r="K1186" s="1"/>
      <c r="L1186" s="1"/>
    </row>
    <row r="1187" spans="1:12" s="9" customFormat="1" ht="30" customHeight="1">
      <c r="A1187" s="113" t="s">
        <v>19</v>
      </c>
      <c r="B1187" s="168">
        <v>5</v>
      </c>
      <c r="C1187" s="168">
        <v>5</v>
      </c>
      <c r="D1187" s="111"/>
      <c r="E1187" s="128"/>
      <c r="F1187" s="128"/>
      <c r="G1187" s="128"/>
      <c r="H1187" s="168"/>
      <c r="I1187" s="374"/>
      <c r="J1187" s="80"/>
      <c r="K1187" s="82"/>
      <c r="L1187" s="82"/>
    </row>
    <row r="1188" spans="1:12" s="9" customFormat="1" ht="30" customHeight="1">
      <c r="A1188" s="64" t="s">
        <v>62</v>
      </c>
      <c r="B1188" s="5">
        <v>5</v>
      </c>
      <c r="C1188" s="5">
        <v>5</v>
      </c>
      <c r="D1188" s="5"/>
      <c r="E1188" s="128"/>
      <c r="F1188" s="128"/>
      <c r="G1188" s="128"/>
      <c r="H1188" s="168"/>
      <c r="I1188" s="374"/>
      <c r="K1188" s="82"/>
      <c r="L1188" s="82"/>
    </row>
    <row r="1189" spans="1:12" s="9" customFormat="1" ht="30" customHeight="1">
      <c r="A1189" s="67" t="s">
        <v>78</v>
      </c>
      <c r="B1189" s="48">
        <v>0.2</v>
      </c>
      <c r="C1189" s="48">
        <v>0.2</v>
      </c>
      <c r="D1189" s="37"/>
      <c r="E1189" s="38"/>
      <c r="F1189" s="38"/>
      <c r="G1189" s="38"/>
      <c r="H1189" s="144"/>
      <c r="I1189" s="379"/>
      <c r="K1189" s="1"/>
      <c r="L1189" s="1"/>
    </row>
    <row r="1190" spans="1:12" s="9" customFormat="1" ht="30" customHeight="1">
      <c r="A1190" s="503" t="s">
        <v>333</v>
      </c>
      <c r="B1190" s="503"/>
      <c r="C1190" s="503"/>
      <c r="D1190" s="54">
        <v>200</v>
      </c>
      <c r="E1190" s="56">
        <v>16.2</v>
      </c>
      <c r="F1190" s="56">
        <v>17.2</v>
      </c>
      <c r="G1190" s="56">
        <v>16.5</v>
      </c>
      <c r="H1190" s="55">
        <f>E1190*4+F1190*9+G1190*4</f>
        <v>285.59999999999997</v>
      </c>
      <c r="I1190" s="374" t="s">
        <v>334</v>
      </c>
      <c r="K1190" s="1"/>
      <c r="L1190" s="1"/>
    </row>
    <row r="1191" spans="1:12" s="9" customFormat="1" ht="30" customHeight="1">
      <c r="A1191" s="65" t="s">
        <v>90</v>
      </c>
      <c r="B1191" s="33">
        <f>C1191*1.36</f>
        <v>107.44000000000001</v>
      </c>
      <c r="C1191" s="45">
        <v>79</v>
      </c>
      <c r="D1191" s="5"/>
      <c r="E1191" s="128"/>
      <c r="F1191" s="128"/>
      <c r="G1191" s="128"/>
      <c r="H1191" s="128"/>
      <c r="I1191" s="373"/>
      <c r="K1191" s="1"/>
      <c r="L1191" s="1"/>
    </row>
    <row r="1192" spans="1:12" s="9" customFormat="1" ht="30" customHeight="1">
      <c r="A1192" s="65" t="s">
        <v>91</v>
      </c>
      <c r="B1192" s="33">
        <f>C1192*1.18</f>
        <v>93.22</v>
      </c>
      <c r="C1192" s="5">
        <f>C1191</f>
        <v>79</v>
      </c>
      <c r="D1192" s="5"/>
      <c r="E1192" s="128"/>
      <c r="F1192" s="128"/>
      <c r="G1192" s="128"/>
      <c r="H1192" s="168"/>
      <c r="I1192" s="373"/>
      <c r="K1192" s="1"/>
      <c r="L1192" s="1"/>
    </row>
    <row r="1193" spans="1:10" s="9" customFormat="1" ht="30" customHeight="1">
      <c r="A1193" s="67" t="s">
        <v>11</v>
      </c>
      <c r="B1193" s="45">
        <v>3</v>
      </c>
      <c r="C1193" s="43">
        <v>3</v>
      </c>
      <c r="D1193" s="5"/>
      <c r="E1193" s="128"/>
      <c r="F1193" s="128"/>
      <c r="G1193" s="128"/>
      <c r="H1193" s="168"/>
      <c r="I1193" s="373"/>
      <c r="J1193" s="80"/>
    </row>
    <row r="1194" spans="1:9" s="9" customFormat="1" ht="30" customHeight="1">
      <c r="A1194" s="113" t="s">
        <v>100</v>
      </c>
      <c r="B1194" s="168"/>
      <c r="C1194" s="168">
        <v>50</v>
      </c>
      <c r="D1194" s="111"/>
      <c r="E1194" s="128"/>
      <c r="F1194" s="118"/>
      <c r="G1194" s="118"/>
      <c r="H1194" s="229"/>
      <c r="I1194" s="373"/>
    </row>
    <row r="1195" spans="1:9" s="9" customFormat="1" ht="30" customHeight="1">
      <c r="A1195" s="64" t="s">
        <v>12</v>
      </c>
      <c r="B1195" s="43">
        <f>C1195*1.33</f>
        <v>159.60000000000002</v>
      </c>
      <c r="C1195" s="43">
        <v>120</v>
      </c>
      <c r="D1195" s="5"/>
      <c r="E1195" s="128"/>
      <c r="F1195" s="128"/>
      <c r="G1195" s="128"/>
      <c r="H1195" s="168"/>
      <c r="I1195" s="373"/>
    </row>
    <row r="1196" spans="1:9" s="9" customFormat="1" ht="30" customHeight="1">
      <c r="A1196" s="64" t="s">
        <v>13</v>
      </c>
      <c r="B1196" s="43">
        <f>C1196*1.43</f>
        <v>171.6</v>
      </c>
      <c r="C1196" s="43">
        <v>120</v>
      </c>
      <c r="D1196" s="5"/>
      <c r="E1196" s="128"/>
      <c r="F1196" s="128"/>
      <c r="G1196" s="128"/>
      <c r="H1196" s="168"/>
      <c r="I1196" s="373"/>
    </row>
    <row r="1197" spans="1:9" s="9" customFormat="1" ht="30" customHeight="1">
      <c r="A1197" s="67" t="s">
        <v>14</v>
      </c>
      <c r="B1197" s="43">
        <f>C1197*1.54</f>
        <v>184.8</v>
      </c>
      <c r="C1197" s="43">
        <v>120</v>
      </c>
      <c r="D1197" s="5"/>
      <c r="E1197" s="128"/>
      <c r="F1197" s="128"/>
      <c r="G1197" s="128"/>
      <c r="H1197" s="168"/>
      <c r="I1197" s="373"/>
    </row>
    <row r="1198" spans="1:9" s="9" customFormat="1" ht="30" customHeight="1">
      <c r="A1198" s="67" t="s">
        <v>15</v>
      </c>
      <c r="B1198" s="43">
        <f>C1198*1.67</f>
        <v>200.39999999999998</v>
      </c>
      <c r="C1198" s="43">
        <v>120</v>
      </c>
      <c r="D1198" s="5"/>
      <c r="E1198" s="128"/>
      <c r="F1198" s="128"/>
      <c r="G1198" s="128"/>
      <c r="H1198" s="168"/>
      <c r="I1198" s="373"/>
    </row>
    <row r="1199" spans="1:9" s="9" customFormat="1" ht="30" customHeight="1">
      <c r="A1199" s="64" t="s">
        <v>18</v>
      </c>
      <c r="B1199" s="45">
        <f>C1199*1.19</f>
        <v>17.849999999999998</v>
      </c>
      <c r="C1199" s="43">
        <v>15</v>
      </c>
      <c r="D1199" s="5"/>
      <c r="E1199" s="128"/>
      <c r="F1199" s="128"/>
      <c r="G1199" s="128"/>
      <c r="H1199" s="168"/>
      <c r="I1199" s="373"/>
    </row>
    <row r="1200" spans="1:12" s="9" customFormat="1" ht="30" customHeight="1">
      <c r="A1200" s="72" t="s">
        <v>58</v>
      </c>
      <c r="B1200" s="5">
        <v>8</v>
      </c>
      <c r="C1200" s="43">
        <v>8</v>
      </c>
      <c r="D1200" s="5"/>
      <c r="E1200" s="128"/>
      <c r="F1200" s="128"/>
      <c r="G1200" s="128"/>
      <c r="H1200" s="168"/>
      <c r="I1200" s="373"/>
      <c r="K1200" s="80"/>
      <c r="L1200" s="80"/>
    </row>
    <row r="1201" spans="1:9" s="9" customFormat="1" ht="30" customHeight="1">
      <c r="A1201" s="64" t="s">
        <v>11</v>
      </c>
      <c r="B1201" s="5">
        <v>10</v>
      </c>
      <c r="C1201" s="43">
        <v>10</v>
      </c>
      <c r="D1201" s="5"/>
      <c r="E1201" s="128"/>
      <c r="F1201" s="128"/>
      <c r="G1201" s="128"/>
      <c r="H1201" s="128"/>
      <c r="I1201" s="373"/>
    </row>
    <row r="1202" spans="1:12" s="9" customFormat="1" ht="30" customHeight="1">
      <c r="A1202" s="242" t="s">
        <v>523</v>
      </c>
      <c r="B1202" s="54">
        <v>200</v>
      </c>
      <c r="C1202" s="54">
        <v>200</v>
      </c>
      <c r="D1202" s="54">
        <v>200</v>
      </c>
      <c r="E1202" s="56">
        <v>0.5</v>
      </c>
      <c r="F1202" s="56">
        <v>0.1</v>
      </c>
      <c r="G1202" s="56">
        <v>28</v>
      </c>
      <c r="H1202" s="55">
        <f>G1202*4+F1202*9+E1202*4</f>
        <v>114.9</v>
      </c>
      <c r="I1202" s="261" t="s">
        <v>237</v>
      </c>
      <c r="J1202" s="80"/>
      <c r="K1202" s="80"/>
      <c r="L1202" s="80"/>
    </row>
    <row r="1203" spans="1:12" s="9" customFormat="1" ht="30" customHeight="1">
      <c r="A1203" s="506" t="s">
        <v>76</v>
      </c>
      <c r="B1203" s="506"/>
      <c r="C1203" s="506"/>
      <c r="D1203" s="506"/>
      <c r="E1203" s="506"/>
      <c r="F1203" s="506"/>
      <c r="G1203" s="506"/>
      <c r="H1203" s="506"/>
      <c r="I1203" s="506"/>
      <c r="K1203" s="80"/>
      <c r="L1203" s="80"/>
    </row>
    <row r="1204" spans="1:12" s="9" customFormat="1" ht="30" customHeight="1">
      <c r="A1204" s="504" t="s">
        <v>360</v>
      </c>
      <c r="B1204" s="504"/>
      <c r="C1204" s="504"/>
      <c r="D1204" s="24">
        <v>200</v>
      </c>
      <c r="E1204" s="26">
        <v>0.2</v>
      </c>
      <c r="F1204" s="26">
        <v>0</v>
      </c>
      <c r="G1204" s="26">
        <v>28.2</v>
      </c>
      <c r="H1204" s="247">
        <f>G1204*4+F1204*9+E1204*4</f>
        <v>113.6</v>
      </c>
      <c r="I1204" s="261" t="s">
        <v>238</v>
      </c>
      <c r="K1204" s="80"/>
      <c r="L1204" s="80"/>
    </row>
    <row r="1205" spans="1:9" s="9" customFormat="1" ht="30" customHeight="1">
      <c r="A1205" s="71" t="s">
        <v>165</v>
      </c>
      <c r="B1205" s="28">
        <f>C1205*1.14</f>
        <v>34.199999999999996</v>
      </c>
      <c r="C1205" s="28">
        <v>30</v>
      </c>
      <c r="D1205" s="24"/>
      <c r="E1205" s="26"/>
      <c r="F1205" s="26"/>
      <c r="G1205" s="26"/>
      <c r="H1205" s="30"/>
      <c r="I1205" s="383"/>
    </row>
    <row r="1206" spans="1:9" s="9" customFormat="1" ht="30" customHeight="1">
      <c r="A1206" s="66" t="s">
        <v>173</v>
      </c>
      <c r="B1206" s="77">
        <f>C1206*1.06</f>
        <v>10.600000000000001</v>
      </c>
      <c r="C1206" s="28">
        <v>10</v>
      </c>
      <c r="D1206" s="24"/>
      <c r="E1206" s="26"/>
      <c r="F1206" s="26"/>
      <c r="G1206" s="26"/>
      <c r="H1206" s="30"/>
      <c r="I1206" s="383"/>
    </row>
    <row r="1207" spans="1:9" s="9" customFormat="1" ht="30" customHeight="1">
      <c r="A1207" s="100" t="s">
        <v>358</v>
      </c>
      <c r="B1207" s="77">
        <f>C1207*1.06</f>
        <v>10.600000000000001</v>
      </c>
      <c r="C1207" s="28">
        <v>10</v>
      </c>
      <c r="D1207" s="102"/>
      <c r="E1207" s="358"/>
      <c r="F1207" s="136"/>
      <c r="G1207" s="136"/>
      <c r="H1207" s="147"/>
      <c r="I1207" s="384"/>
    </row>
    <row r="1208" spans="1:9" s="9" customFormat="1" ht="30" customHeight="1">
      <c r="A1208" s="100" t="s">
        <v>359</v>
      </c>
      <c r="B1208" s="77">
        <f>C1208*1.11</f>
        <v>11.100000000000001</v>
      </c>
      <c r="C1208" s="28">
        <v>10</v>
      </c>
      <c r="D1208" s="102"/>
      <c r="E1208" s="358"/>
      <c r="F1208" s="136"/>
      <c r="G1208" s="136"/>
      <c r="H1208" s="147"/>
      <c r="I1208" s="384"/>
    </row>
    <row r="1209" spans="1:9" s="9" customFormat="1" ht="30" customHeight="1">
      <c r="A1209" s="67" t="s">
        <v>4</v>
      </c>
      <c r="B1209" s="28">
        <v>20</v>
      </c>
      <c r="C1209" s="28">
        <v>20</v>
      </c>
      <c r="D1209" s="24"/>
      <c r="E1209" s="26"/>
      <c r="F1209" s="26"/>
      <c r="G1209" s="26"/>
      <c r="H1209" s="30"/>
      <c r="I1209" s="260"/>
    </row>
    <row r="1210" spans="1:9" s="9" customFormat="1" ht="30" customHeight="1">
      <c r="A1210" s="501" t="s">
        <v>20</v>
      </c>
      <c r="B1210" s="501"/>
      <c r="C1210" s="501"/>
      <c r="D1210" s="24">
        <v>70</v>
      </c>
      <c r="E1210" s="26">
        <v>3.2899999999999996</v>
      </c>
      <c r="F1210" s="26">
        <v>0.7</v>
      </c>
      <c r="G1210" s="26">
        <v>30.589999999999996</v>
      </c>
      <c r="H1210" s="30">
        <v>141.82000000000002</v>
      </c>
      <c r="I1210" s="374"/>
    </row>
    <row r="1211" spans="1:9" s="9" customFormat="1" ht="30" customHeight="1">
      <c r="A1211" s="503" t="s">
        <v>80</v>
      </c>
      <c r="B1211" s="503"/>
      <c r="C1211" s="503"/>
      <c r="D1211" s="103">
        <v>70</v>
      </c>
      <c r="E1211" s="128"/>
      <c r="F1211" s="128"/>
      <c r="G1211" s="128"/>
      <c r="H1211" s="128"/>
      <c r="I1211" s="373"/>
    </row>
    <row r="1212" spans="1:9" s="9" customFormat="1" ht="30" customHeight="1">
      <c r="A1212" s="434" t="s">
        <v>27</v>
      </c>
      <c r="B1212" s="111">
        <v>70</v>
      </c>
      <c r="C1212" s="111">
        <v>70</v>
      </c>
      <c r="D1212" s="54">
        <v>70</v>
      </c>
      <c r="E1212" s="56">
        <v>2.5200000000000005</v>
      </c>
      <c r="F1212" s="56">
        <v>0.42</v>
      </c>
      <c r="G1212" s="56">
        <v>32.9</v>
      </c>
      <c r="H1212" s="55">
        <v>141.82000000000002</v>
      </c>
      <c r="I1212" s="374"/>
    </row>
    <row r="1213" spans="1:9" s="9" customFormat="1" ht="30" customHeight="1">
      <c r="A1213" s="544" t="s">
        <v>24</v>
      </c>
      <c r="B1213" s="544"/>
      <c r="C1213" s="544"/>
      <c r="D1213" s="544"/>
      <c r="E1213" s="138">
        <f>E1152+E1129</f>
        <v>50.209999999999994</v>
      </c>
      <c r="F1213" s="138">
        <f>F1152+F1129</f>
        <v>49.370000000000005</v>
      </c>
      <c r="G1213" s="138">
        <f>G1152+G1129</f>
        <v>213.54000000000002</v>
      </c>
      <c r="H1213" s="138">
        <f>H1152+H1129</f>
        <v>1495.0900000000001</v>
      </c>
      <c r="I1213" s="385"/>
    </row>
    <row r="1214" spans="1:9" s="9" customFormat="1" ht="30" customHeight="1">
      <c r="A1214" s="514" t="s">
        <v>212</v>
      </c>
      <c r="B1214" s="520"/>
      <c r="C1214" s="520"/>
      <c r="D1214" s="520"/>
      <c r="E1214" s="137">
        <f>(E733+E822+E935+E1013+E1125+E1213)/6</f>
        <v>50.699444444444445</v>
      </c>
      <c r="F1214" s="137">
        <f>(F733+F822+F935+F1013+F1125+F1213)/6</f>
        <v>50.87916666666666</v>
      </c>
      <c r="G1214" s="137">
        <f>(G733+G822+G935+G1013+G1125+G1213)/6</f>
        <v>209.95015873015873</v>
      </c>
      <c r="H1214" s="137">
        <f>(H733+H822+H935+H1013+H1125+H1213)/6</f>
        <v>1498.9598015873016</v>
      </c>
      <c r="I1214" s="521" t="s">
        <v>213</v>
      </c>
    </row>
    <row r="1215" spans="1:9" s="9" customFormat="1" ht="38.25" customHeight="1">
      <c r="A1215" s="514" t="s">
        <v>214</v>
      </c>
      <c r="B1215" s="515"/>
      <c r="C1215" s="515"/>
      <c r="D1215" s="515"/>
      <c r="E1215" s="137" t="s">
        <v>215</v>
      </c>
      <c r="F1215" s="137" t="s">
        <v>216</v>
      </c>
      <c r="G1215" s="137" t="s">
        <v>217</v>
      </c>
      <c r="H1215" s="137" t="s">
        <v>218</v>
      </c>
      <c r="I1215" s="521"/>
    </row>
    <row r="1216" spans="1:9" s="9" customFormat="1" ht="30" customHeight="1">
      <c r="A1216" s="514" t="s">
        <v>219</v>
      </c>
      <c r="B1216" s="520"/>
      <c r="C1216" s="520"/>
      <c r="D1216" s="520"/>
      <c r="E1216" s="137">
        <v>90</v>
      </c>
      <c r="F1216" s="137">
        <v>92</v>
      </c>
      <c r="G1216" s="137">
        <v>383</v>
      </c>
      <c r="H1216" s="137">
        <v>2720</v>
      </c>
      <c r="I1216" s="521"/>
    </row>
    <row r="1217" spans="1:9" s="9" customFormat="1" ht="30" customHeight="1">
      <c r="A1217" s="568" t="s">
        <v>394</v>
      </c>
      <c r="B1217" s="568"/>
      <c r="C1217" s="568"/>
      <c r="D1217" s="568"/>
      <c r="E1217" s="568"/>
      <c r="F1217" s="568"/>
      <c r="G1217" s="568"/>
      <c r="H1217" s="568"/>
      <c r="I1217" s="568"/>
    </row>
    <row r="1218" s="9" customFormat="1" ht="30" customHeight="1"/>
    <row r="1219" s="9" customFormat="1" ht="30" customHeight="1"/>
    <row r="1220" s="9" customFormat="1" ht="30" customHeight="1"/>
    <row r="1221" spans="1:9" s="9" customFormat="1" ht="30" customHeight="1">
      <c r="A1221" s="162"/>
      <c r="B1221" s="163"/>
      <c r="C1221" s="163"/>
      <c r="D1221" s="163"/>
      <c r="E1221" s="225"/>
      <c r="F1221" s="225"/>
      <c r="G1221" s="225"/>
      <c r="H1221" s="225"/>
      <c r="I1221" s="409"/>
    </row>
    <row r="1222" spans="1:9" s="9" customFormat="1" ht="30" customHeight="1">
      <c r="A1222" s="162"/>
      <c r="B1222" s="163"/>
      <c r="C1222" s="163"/>
      <c r="D1222" s="163"/>
      <c r="E1222" s="223"/>
      <c r="F1222" s="223"/>
      <c r="G1222" s="223"/>
      <c r="H1222" s="236"/>
      <c r="I1222" s="410"/>
    </row>
    <row r="1223" spans="1:9" s="9" customFormat="1" ht="30" customHeight="1">
      <c r="A1223" s="162"/>
      <c r="B1223" s="163"/>
      <c r="C1223" s="163"/>
      <c r="D1223" s="163"/>
      <c r="E1223" s="225"/>
      <c r="F1223" s="225"/>
      <c r="G1223" s="225"/>
      <c r="H1223" s="225"/>
      <c r="I1223" s="409"/>
    </row>
    <row r="1224" spans="1:9" s="9" customFormat="1" ht="30" customHeight="1">
      <c r="A1224" s="162"/>
      <c r="B1224" s="163"/>
      <c r="C1224" s="163"/>
      <c r="D1224" s="163"/>
      <c r="E1224" s="223"/>
      <c r="F1224" s="223"/>
      <c r="G1224" s="223"/>
      <c r="H1224" s="223"/>
      <c r="I1224" s="411"/>
    </row>
    <row r="1225" spans="1:9" s="9" customFormat="1" ht="30" customHeight="1">
      <c r="A1225" s="162"/>
      <c r="B1225" s="163"/>
      <c r="C1225" s="163"/>
      <c r="D1225" s="163"/>
      <c r="E1225" s="223"/>
      <c r="F1225" s="223"/>
      <c r="G1225" s="223"/>
      <c r="H1225" s="223"/>
      <c r="I1225" s="411"/>
    </row>
    <row r="1226" spans="1:9" s="9" customFormat="1" ht="30" customHeight="1">
      <c r="A1226" s="162"/>
      <c r="B1226" s="163"/>
      <c r="C1226" s="163"/>
      <c r="D1226" s="163"/>
      <c r="E1226" s="223"/>
      <c r="F1226" s="223"/>
      <c r="G1226" s="223"/>
      <c r="H1226" s="223"/>
      <c r="I1226" s="411"/>
    </row>
    <row r="1227" spans="1:9" s="9" customFormat="1" ht="30" customHeight="1">
      <c r="A1227" s="162"/>
      <c r="B1227" s="163"/>
      <c r="C1227" s="163"/>
      <c r="D1227" s="163"/>
      <c r="E1227" s="223"/>
      <c r="F1227" s="223"/>
      <c r="G1227" s="223"/>
      <c r="H1227" s="223"/>
      <c r="I1227" s="411"/>
    </row>
    <row r="1228" spans="1:9" s="9" customFormat="1" ht="30" customHeight="1">
      <c r="A1228" s="162"/>
      <c r="B1228" s="163"/>
      <c r="C1228" s="163"/>
      <c r="D1228" s="163"/>
      <c r="E1228" s="223"/>
      <c r="F1228" s="223"/>
      <c r="G1228" s="223"/>
      <c r="H1228" s="223"/>
      <c r="I1228" s="411"/>
    </row>
    <row r="1229" spans="1:9" s="9" customFormat="1" ht="30" customHeight="1">
      <c r="A1229" s="162"/>
      <c r="B1229" s="163"/>
      <c r="C1229" s="163"/>
      <c r="D1229" s="163"/>
      <c r="E1229" s="223"/>
      <c r="F1229" s="223"/>
      <c r="G1229" s="223"/>
      <c r="H1229" s="223"/>
      <c r="I1229" s="411"/>
    </row>
    <row r="1230" spans="1:9" s="9" customFormat="1" ht="30" customHeight="1">
      <c r="A1230" s="162"/>
      <c r="B1230" s="163"/>
      <c r="C1230" s="163"/>
      <c r="D1230" s="163"/>
      <c r="E1230" s="223"/>
      <c r="F1230" s="223"/>
      <c r="G1230" s="223"/>
      <c r="H1230" s="223"/>
      <c r="I1230" s="411"/>
    </row>
    <row r="1231" spans="1:9" s="9" customFormat="1" ht="30" customHeight="1">
      <c r="A1231" s="162"/>
      <c r="B1231" s="163"/>
      <c r="C1231" s="163"/>
      <c r="D1231" s="163"/>
      <c r="E1231" s="223"/>
      <c r="F1231" s="223"/>
      <c r="G1231" s="223"/>
      <c r="H1231" s="223"/>
      <c r="I1231" s="411"/>
    </row>
    <row r="1232" spans="1:9" s="9" customFormat="1" ht="30" customHeight="1">
      <c r="A1232" s="162"/>
      <c r="B1232" s="163"/>
      <c r="C1232" s="163"/>
      <c r="D1232" s="163"/>
      <c r="E1232" s="223"/>
      <c r="F1232" s="223"/>
      <c r="G1232" s="223"/>
      <c r="H1232" s="223"/>
      <c r="I1232" s="411"/>
    </row>
    <row r="1233" spans="1:9" s="9" customFormat="1" ht="30" customHeight="1">
      <c r="A1233" s="162"/>
      <c r="B1233" s="163"/>
      <c r="C1233" s="163"/>
      <c r="D1233" s="163"/>
      <c r="E1233" s="223"/>
      <c r="F1233" s="223"/>
      <c r="G1233" s="223"/>
      <c r="H1233" s="223"/>
      <c r="I1233" s="411"/>
    </row>
    <row r="1234" spans="1:9" s="9" customFormat="1" ht="30" customHeight="1">
      <c r="A1234" s="162"/>
      <c r="B1234" s="163"/>
      <c r="C1234" s="163"/>
      <c r="D1234" s="163"/>
      <c r="E1234" s="223"/>
      <c r="F1234" s="223"/>
      <c r="G1234" s="223"/>
      <c r="H1234" s="223"/>
      <c r="I1234" s="411"/>
    </row>
    <row r="1235" spans="1:9" s="9" customFormat="1" ht="30" customHeight="1">
      <c r="A1235" s="162"/>
      <c r="B1235" s="163"/>
      <c r="C1235" s="163"/>
      <c r="D1235" s="163"/>
      <c r="E1235" s="223"/>
      <c r="F1235" s="223"/>
      <c r="G1235" s="223"/>
      <c r="H1235" s="223"/>
      <c r="I1235" s="411"/>
    </row>
    <row r="1236" spans="1:9" s="9" customFormat="1" ht="30" customHeight="1">
      <c r="A1236" s="162"/>
      <c r="B1236" s="163"/>
      <c r="C1236" s="163"/>
      <c r="D1236" s="163"/>
      <c r="E1236" s="223"/>
      <c r="F1236" s="223"/>
      <c r="G1236" s="223"/>
      <c r="H1236" s="223"/>
      <c r="I1236" s="411"/>
    </row>
    <row r="1237" spans="1:9" s="9" customFormat="1" ht="30" customHeight="1">
      <c r="A1237" s="162"/>
      <c r="B1237" s="163"/>
      <c r="C1237" s="163"/>
      <c r="D1237" s="163"/>
      <c r="E1237" s="223"/>
      <c r="F1237" s="223"/>
      <c r="G1237" s="223"/>
      <c r="H1237" s="223"/>
      <c r="I1237" s="411"/>
    </row>
    <row r="1238" spans="1:9" s="9" customFormat="1" ht="30" customHeight="1">
      <c r="A1238" s="162"/>
      <c r="B1238" s="163"/>
      <c r="C1238" s="163"/>
      <c r="D1238" s="163"/>
      <c r="E1238" s="223"/>
      <c r="F1238" s="223"/>
      <c r="G1238" s="223"/>
      <c r="H1238" s="223"/>
      <c r="I1238" s="411"/>
    </row>
    <row r="1239" spans="1:9" s="9" customFormat="1" ht="30" customHeight="1">
      <c r="A1239" s="162"/>
      <c r="B1239" s="163"/>
      <c r="C1239" s="163"/>
      <c r="D1239" s="163"/>
      <c r="E1239" s="223"/>
      <c r="F1239" s="223"/>
      <c r="G1239" s="223"/>
      <c r="H1239" s="223"/>
      <c r="I1239" s="411"/>
    </row>
    <row r="1240" spans="1:9" s="9" customFormat="1" ht="30" customHeight="1">
      <c r="A1240" s="162"/>
      <c r="B1240" s="163"/>
      <c r="C1240" s="163"/>
      <c r="D1240" s="163"/>
      <c r="E1240" s="223"/>
      <c r="F1240" s="223"/>
      <c r="G1240" s="223"/>
      <c r="H1240" s="223"/>
      <c r="I1240" s="411"/>
    </row>
    <row r="1241" spans="1:9" s="9" customFormat="1" ht="30" customHeight="1">
      <c r="A1241" s="162"/>
      <c r="B1241" s="163"/>
      <c r="C1241" s="163"/>
      <c r="D1241" s="163"/>
      <c r="E1241" s="223"/>
      <c r="F1241" s="223"/>
      <c r="G1241" s="223"/>
      <c r="H1241" s="223"/>
      <c r="I1241" s="411"/>
    </row>
    <row r="1242" spans="1:9" s="9" customFormat="1" ht="30" customHeight="1">
      <c r="A1242" s="162"/>
      <c r="B1242" s="163"/>
      <c r="C1242" s="163"/>
      <c r="D1242" s="163"/>
      <c r="E1242" s="223"/>
      <c r="F1242" s="223"/>
      <c r="G1242" s="223"/>
      <c r="H1242" s="223"/>
      <c r="I1242" s="411"/>
    </row>
    <row r="1243" spans="1:9" s="9" customFormat="1" ht="30" customHeight="1">
      <c r="A1243" s="162"/>
      <c r="B1243" s="163"/>
      <c r="C1243" s="163"/>
      <c r="D1243" s="163"/>
      <c r="E1243" s="223"/>
      <c r="F1243" s="223"/>
      <c r="G1243" s="223"/>
      <c r="H1243" s="223"/>
      <c r="I1243" s="411"/>
    </row>
    <row r="1244" spans="1:9" s="9" customFormat="1" ht="30" customHeight="1">
      <c r="A1244" s="162"/>
      <c r="B1244" s="163"/>
      <c r="C1244" s="163"/>
      <c r="D1244" s="163"/>
      <c r="E1244" s="223"/>
      <c r="F1244" s="223"/>
      <c r="G1244" s="223"/>
      <c r="H1244" s="223"/>
      <c r="I1244" s="411"/>
    </row>
    <row r="1245" spans="1:9" s="9" customFormat="1" ht="30" customHeight="1">
      <c r="A1245" s="162"/>
      <c r="B1245" s="163"/>
      <c r="C1245" s="163"/>
      <c r="D1245" s="163"/>
      <c r="E1245" s="223"/>
      <c r="F1245" s="223"/>
      <c r="G1245" s="223"/>
      <c r="H1245" s="223"/>
      <c r="I1245" s="411"/>
    </row>
    <row r="1246" spans="1:9" s="9" customFormat="1" ht="30" customHeight="1">
      <c r="A1246" s="162"/>
      <c r="B1246" s="163"/>
      <c r="C1246" s="163"/>
      <c r="D1246" s="163"/>
      <c r="E1246" s="223"/>
      <c r="F1246" s="223"/>
      <c r="G1246" s="223"/>
      <c r="H1246" s="223"/>
      <c r="I1246" s="411"/>
    </row>
    <row r="1247" spans="1:9" s="9" customFormat="1" ht="30" customHeight="1">
      <c r="A1247" s="162"/>
      <c r="B1247" s="163"/>
      <c r="C1247" s="163"/>
      <c r="D1247" s="163"/>
      <c r="E1247" s="223"/>
      <c r="F1247" s="223"/>
      <c r="G1247" s="223"/>
      <c r="H1247" s="223"/>
      <c r="I1247" s="411"/>
    </row>
    <row r="1248" spans="1:9" s="9" customFormat="1" ht="30" customHeight="1">
      <c r="A1248" s="162"/>
      <c r="B1248" s="163"/>
      <c r="C1248" s="163"/>
      <c r="D1248" s="163"/>
      <c r="E1248" s="223"/>
      <c r="F1248" s="223"/>
      <c r="G1248" s="223"/>
      <c r="H1248" s="223"/>
      <c r="I1248" s="411"/>
    </row>
    <row r="1249" spans="1:9" s="9" customFormat="1" ht="30" customHeight="1">
      <c r="A1249" s="162"/>
      <c r="B1249" s="163"/>
      <c r="C1249" s="163"/>
      <c r="D1249" s="163"/>
      <c r="E1249" s="223"/>
      <c r="F1249" s="223"/>
      <c r="G1249" s="223"/>
      <c r="H1249" s="223"/>
      <c r="I1249" s="411"/>
    </row>
    <row r="1250" spans="1:9" s="9" customFormat="1" ht="30" customHeight="1">
      <c r="A1250" s="162"/>
      <c r="B1250" s="163"/>
      <c r="C1250" s="163"/>
      <c r="D1250" s="163"/>
      <c r="E1250" s="223"/>
      <c r="F1250" s="223"/>
      <c r="G1250" s="223"/>
      <c r="H1250" s="223"/>
      <c r="I1250" s="411"/>
    </row>
    <row r="1251" spans="1:9" s="9" customFormat="1" ht="30" customHeight="1">
      <c r="A1251" s="162"/>
      <c r="B1251" s="163"/>
      <c r="C1251" s="163"/>
      <c r="D1251" s="163"/>
      <c r="E1251" s="223"/>
      <c r="F1251" s="223"/>
      <c r="G1251" s="223"/>
      <c r="H1251" s="223"/>
      <c r="I1251" s="411"/>
    </row>
    <row r="1252" spans="1:9" s="9" customFormat="1" ht="30" customHeight="1">
      <c r="A1252" s="162"/>
      <c r="B1252" s="163"/>
      <c r="C1252" s="163"/>
      <c r="D1252" s="163"/>
      <c r="E1252" s="223"/>
      <c r="F1252" s="223"/>
      <c r="G1252" s="223"/>
      <c r="H1252" s="223"/>
      <c r="I1252" s="411"/>
    </row>
    <row r="1253" spans="1:9" s="9" customFormat="1" ht="30" customHeight="1">
      <c r="A1253" s="162"/>
      <c r="B1253" s="163"/>
      <c r="C1253" s="163"/>
      <c r="D1253" s="163"/>
      <c r="E1253" s="223"/>
      <c r="F1253" s="223"/>
      <c r="G1253" s="223"/>
      <c r="H1253" s="223"/>
      <c r="I1253" s="411"/>
    </row>
    <row r="1254" spans="1:10" s="9" customFormat="1" ht="30" customHeight="1">
      <c r="A1254" s="162"/>
      <c r="B1254" s="163"/>
      <c r="C1254" s="163"/>
      <c r="D1254" s="163"/>
      <c r="E1254" s="223"/>
      <c r="F1254" s="223"/>
      <c r="G1254" s="223"/>
      <c r="H1254" s="223"/>
      <c r="I1254" s="411"/>
      <c r="J1254" s="155"/>
    </row>
    <row r="1255" spans="1:9" s="9" customFormat="1" ht="30" customHeight="1">
      <c r="A1255" s="162"/>
      <c r="B1255" s="163"/>
      <c r="C1255" s="163"/>
      <c r="D1255" s="163"/>
      <c r="E1255" s="223"/>
      <c r="F1255" s="223"/>
      <c r="G1255" s="223"/>
      <c r="H1255" s="223"/>
      <c r="I1255" s="411"/>
    </row>
    <row r="1256" spans="1:14" s="9" customFormat="1" ht="30" customHeight="1">
      <c r="A1256" s="162"/>
      <c r="B1256" s="163"/>
      <c r="C1256" s="163"/>
      <c r="D1256" s="163"/>
      <c r="E1256" s="223"/>
      <c r="F1256" s="223"/>
      <c r="G1256" s="223"/>
      <c r="H1256" s="223"/>
      <c r="I1256" s="411"/>
      <c r="N1256" s="80"/>
    </row>
    <row r="1257" spans="1:14" s="9" customFormat="1" ht="30" customHeight="1">
      <c r="A1257" s="162"/>
      <c r="B1257" s="163"/>
      <c r="C1257" s="163"/>
      <c r="D1257" s="163"/>
      <c r="E1257" s="223"/>
      <c r="F1257" s="223"/>
      <c r="G1257" s="223"/>
      <c r="H1257" s="223"/>
      <c r="I1257" s="411"/>
      <c r="N1257" s="80"/>
    </row>
    <row r="1258" spans="1:9" s="9" customFormat="1" ht="30" customHeight="1">
      <c r="A1258" s="162"/>
      <c r="B1258" s="163"/>
      <c r="C1258" s="163"/>
      <c r="D1258" s="163"/>
      <c r="E1258" s="223"/>
      <c r="F1258" s="223"/>
      <c r="G1258" s="223"/>
      <c r="H1258" s="223"/>
      <c r="I1258" s="411"/>
    </row>
    <row r="1259" spans="1:14" s="9" customFormat="1" ht="30" customHeight="1">
      <c r="A1259" s="162"/>
      <c r="B1259" s="163"/>
      <c r="C1259" s="163"/>
      <c r="D1259" s="163"/>
      <c r="E1259" s="223"/>
      <c r="F1259" s="223"/>
      <c r="G1259" s="223"/>
      <c r="H1259" s="223"/>
      <c r="I1259" s="411"/>
      <c r="N1259" s="80"/>
    </row>
    <row r="1260" spans="1:17" s="9" customFormat="1" ht="30" customHeight="1">
      <c r="A1260" s="162"/>
      <c r="B1260" s="163"/>
      <c r="C1260" s="163"/>
      <c r="D1260" s="163"/>
      <c r="E1260" s="223"/>
      <c r="F1260" s="223"/>
      <c r="G1260" s="223"/>
      <c r="H1260" s="223"/>
      <c r="I1260" s="411"/>
      <c r="O1260" s="155"/>
      <c r="P1260" s="155"/>
      <c r="Q1260" s="155"/>
    </row>
    <row r="1261" spans="1:14" s="9" customFormat="1" ht="30" customHeight="1">
      <c r="A1261" s="162"/>
      <c r="B1261" s="163"/>
      <c r="C1261" s="163"/>
      <c r="D1261" s="163"/>
      <c r="E1261" s="223"/>
      <c r="F1261" s="223"/>
      <c r="G1261" s="223"/>
      <c r="H1261" s="223"/>
      <c r="I1261" s="411"/>
      <c r="N1261" s="80"/>
    </row>
    <row r="1262" spans="1:14" s="9" customFormat="1" ht="30" customHeight="1">
      <c r="A1262" s="162"/>
      <c r="B1262" s="163"/>
      <c r="C1262" s="163"/>
      <c r="D1262" s="163"/>
      <c r="E1262" s="223"/>
      <c r="F1262" s="223"/>
      <c r="G1262" s="223"/>
      <c r="H1262" s="223"/>
      <c r="I1262" s="411"/>
      <c r="N1262" s="80"/>
    </row>
    <row r="1263" spans="1:14" s="9" customFormat="1" ht="30" customHeight="1">
      <c r="A1263" s="162"/>
      <c r="B1263" s="163"/>
      <c r="C1263" s="163"/>
      <c r="D1263" s="163"/>
      <c r="E1263" s="223"/>
      <c r="F1263" s="223"/>
      <c r="G1263" s="223"/>
      <c r="H1263" s="223"/>
      <c r="I1263" s="411"/>
      <c r="N1263" s="80"/>
    </row>
    <row r="1264" spans="1:14" s="9" customFormat="1" ht="30" customHeight="1">
      <c r="A1264" s="162"/>
      <c r="B1264" s="163"/>
      <c r="C1264" s="163"/>
      <c r="D1264" s="163"/>
      <c r="E1264" s="223"/>
      <c r="F1264" s="223"/>
      <c r="G1264" s="223"/>
      <c r="H1264" s="223"/>
      <c r="I1264" s="411"/>
      <c r="N1264" s="80"/>
    </row>
    <row r="1265" spans="1:9" s="9" customFormat="1" ht="30" customHeight="1">
      <c r="A1265" s="162"/>
      <c r="B1265" s="163"/>
      <c r="C1265" s="163"/>
      <c r="D1265" s="163"/>
      <c r="E1265" s="223"/>
      <c r="F1265" s="223"/>
      <c r="G1265" s="223"/>
      <c r="H1265" s="223"/>
      <c r="I1265" s="411"/>
    </row>
    <row r="1266" spans="1:9" s="9" customFormat="1" ht="30" customHeight="1">
      <c r="A1266" s="162"/>
      <c r="B1266" s="163"/>
      <c r="C1266" s="163"/>
      <c r="D1266" s="163"/>
      <c r="E1266" s="223"/>
      <c r="F1266" s="223"/>
      <c r="G1266" s="223"/>
      <c r="H1266" s="223"/>
      <c r="I1266" s="411"/>
    </row>
    <row r="1267" spans="1:9" s="9" customFormat="1" ht="30" customHeight="1">
      <c r="A1267" s="162"/>
      <c r="B1267" s="163"/>
      <c r="C1267" s="163"/>
      <c r="D1267" s="163"/>
      <c r="E1267" s="223"/>
      <c r="F1267" s="223"/>
      <c r="G1267" s="223"/>
      <c r="H1267" s="223"/>
      <c r="I1267" s="411"/>
    </row>
    <row r="1268" spans="1:9" s="9" customFormat="1" ht="30" customHeight="1">
      <c r="A1268" s="162"/>
      <c r="B1268" s="163"/>
      <c r="C1268" s="163"/>
      <c r="D1268" s="163"/>
      <c r="E1268" s="223"/>
      <c r="F1268" s="223"/>
      <c r="G1268" s="223"/>
      <c r="H1268" s="223"/>
      <c r="I1268" s="411"/>
    </row>
    <row r="1269" spans="1:9" s="9" customFormat="1" ht="30" customHeight="1">
      <c r="A1269" s="162"/>
      <c r="B1269" s="163"/>
      <c r="C1269" s="163"/>
      <c r="D1269" s="163"/>
      <c r="E1269" s="223"/>
      <c r="F1269" s="223"/>
      <c r="G1269" s="223"/>
      <c r="H1269" s="223"/>
      <c r="I1269" s="411"/>
    </row>
    <row r="1270" spans="1:9" s="9" customFormat="1" ht="30" customHeight="1">
      <c r="A1270" s="162"/>
      <c r="B1270" s="163"/>
      <c r="C1270" s="163"/>
      <c r="D1270" s="163"/>
      <c r="E1270" s="223"/>
      <c r="F1270" s="223"/>
      <c r="G1270" s="223"/>
      <c r="H1270" s="223"/>
      <c r="I1270" s="411"/>
    </row>
    <row r="1271" spans="1:9" s="9" customFormat="1" ht="30" customHeight="1">
      <c r="A1271" s="162"/>
      <c r="B1271" s="163"/>
      <c r="C1271" s="163"/>
      <c r="D1271" s="163"/>
      <c r="E1271" s="223"/>
      <c r="F1271" s="223"/>
      <c r="G1271" s="223"/>
      <c r="H1271" s="223"/>
      <c r="I1271" s="411"/>
    </row>
    <row r="1272" spans="1:9" s="9" customFormat="1" ht="30" customHeight="1">
      <c r="A1272" s="162"/>
      <c r="B1272" s="163"/>
      <c r="C1272" s="163"/>
      <c r="D1272" s="163"/>
      <c r="E1272" s="223"/>
      <c r="F1272" s="223"/>
      <c r="G1272" s="223"/>
      <c r="H1272" s="223"/>
      <c r="I1272" s="411"/>
    </row>
    <row r="1273" spans="1:9" s="9" customFormat="1" ht="30" customHeight="1">
      <c r="A1273" s="162"/>
      <c r="B1273" s="163"/>
      <c r="C1273" s="163"/>
      <c r="D1273" s="163"/>
      <c r="E1273" s="223"/>
      <c r="F1273" s="223"/>
      <c r="G1273" s="223"/>
      <c r="H1273" s="223"/>
      <c r="I1273" s="411"/>
    </row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</sheetData>
  <sheetProtection password="CF52" sheet="1"/>
  <autoFilter ref="A1:A1403"/>
  <mergeCells count="325">
    <mergeCell ref="A231:C231"/>
    <mergeCell ref="A642:C642"/>
    <mergeCell ref="A1215:D1215"/>
    <mergeCell ref="A1216:D1216"/>
    <mergeCell ref="A1217:I1217"/>
    <mergeCell ref="I1214:I1216"/>
    <mergeCell ref="A826:C826"/>
    <mergeCell ref="A920:C920"/>
    <mergeCell ref="A943:C943"/>
    <mergeCell ref="A929:C929"/>
    <mergeCell ref="A1153:C1153"/>
    <mergeCell ref="A1214:D1214"/>
    <mergeCell ref="A1129:C1129"/>
    <mergeCell ref="A1152:C1152"/>
    <mergeCell ref="A1017:C1017"/>
    <mergeCell ref="A939:C939"/>
    <mergeCell ref="D1127:I1127"/>
    <mergeCell ref="C1127:C1128"/>
    <mergeCell ref="B1127:B1128"/>
    <mergeCell ref="A1010:C1010"/>
    <mergeCell ref="A366:C366"/>
    <mergeCell ref="A872:C872"/>
    <mergeCell ref="C735:C736"/>
    <mergeCell ref="A868:C868"/>
    <mergeCell ref="A738:C738"/>
    <mergeCell ref="A822:D822"/>
    <mergeCell ref="A804:I804"/>
    <mergeCell ref="A854:C854"/>
    <mergeCell ref="A759:C759"/>
    <mergeCell ref="A776:C776"/>
    <mergeCell ref="A1062:C1062"/>
    <mergeCell ref="A956:C956"/>
    <mergeCell ref="A680:C680"/>
    <mergeCell ref="A694:I694"/>
    <mergeCell ref="A592:D592"/>
    <mergeCell ref="D594:I594"/>
    <mergeCell ref="B735:B736"/>
    <mergeCell ref="D735:I735"/>
    <mergeCell ref="A905:I905"/>
    <mergeCell ref="A768:C768"/>
    <mergeCell ref="A827:C827"/>
    <mergeCell ref="A645:C645"/>
    <mergeCell ref="A852:C852"/>
    <mergeCell ref="A832:C832"/>
    <mergeCell ref="A649:C649"/>
    <mergeCell ref="A765:C765"/>
    <mergeCell ref="A843:C843"/>
    <mergeCell ref="A812:C812"/>
    <mergeCell ref="A830:I830"/>
    <mergeCell ref="A85:C85"/>
    <mergeCell ref="A104:I104"/>
    <mergeCell ref="C205:C206"/>
    <mergeCell ref="A528:C528"/>
    <mergeCell ref="A544:C544"/>
    <mergeCell ref="A205:A206"/>
    <mergeCell ref="A203:D203"/>
    <mergeCell ref="A421:C421"/>
    <mergeCell ref="A300:C300"/>
    <mergeCell ref="D510:I510"/>
    <mergeCell ref="A1005:C1005"/>
    <mergeCell ref="A1:I1"/>
    <mergeCell ref="A2:I2"/>
    <mergeCell ref="A3:I3"/>
    <mergeCell ref="A4:I4"/>
    <mergeCell ref="A735:A736"/>
    <mergeCell ref="A350:C350"/>
    <mergeCell ref="A940:C940"/>
    <mergeCell ref="C937:C938"/>
    <mergeCell ref="D937:I937"/>
    <mergeCell ref="A1125:D1125"/>
    <mergeCell ref="A1127:A1128"/>
    <mergeCell ref="A1213:D1213"/>
    <mergeCell ref="A961:C961"/>
    <mergeCell ref="B1015:B1016"/>
    <mergeCell ref="D1015:I1015"/>
    <mergeCell ref="A986:B986"/>
    <mergeCell ref="A1063:C1063"/>
    <mergeCell ref="A1011:C1011"/>
    <mergeCell ref="A1126:I1126"/>
    <mergeCell ref="A1015:A1016"/>
    <mergeCell ref="M95:Q95"/>
    <mergeCell ref="A823:I823"/>
    <mergeCell ref="A1013:D1013"/>
    <mergeCell ref="D824:I824"/>
    <mergeCell ref="B937:B938"/>
    <mergeCell ref="P367:R367"/>
    <mergeCell ref="A107:C107"/>
    <mergeCell ref="A937:A938"/>
    <mergeCell ref="A906:C906"/>
    <mergeCell ref="A1119:C1119"/>
    <mergeCell ref="A994:C994"/>
    <mergeCell ref="C1015:C1016"/>
    <mergeCell ref="A1014:I1014"/>
    <mergeCell ref="A957:C957"/>
    <mergeCell ref="A1118:I1118"/>
    <mergeCell ref="A1030:C1030"/>
    <mergeCell ref="A1044:C1044"/>
    <mergeCell ref="A1058:C1058"/>
    <mergeCell ref="A971:C971"/>
    <mergeCell ref="A933:C933"/>
    <mergeCell ref="A855:C855"/>
    <mergeCell ref="A935:D935"/>
    <mergeCell ref="A951:C951"/>
    <mergeCell ref="A867:I867"/>
    <mergeCell ref="A1211:C1211"/>
    <mergeCell ref="A1171:B1171"/>
    <mergeCell ref="C1171:D1171"/>
    <mergeCell ref="A1154:C1154"/>
    <mergeCell ref="A1190:C1190"/>
    <mergeCell ref="A1204:C1204"/>
    <mergeCell ref="A1203:I1203"/>
    <mergeCell ref="A1166:C1166"/>
    <mergeCell ref="A1165:I1165"/>
    <mergeCell ref="A1210:C1210"/>
    <mergeCell ref="B594:B595"/>
    <mergeCell ref="A726:I726"/>
    <mergeCell ref="A816:C816"/>
    <mergeCell ref="A737:C737"/>
    <mergeCell ref="A764:C764"/>
    <mergeCell ref="A597:C597"/>
    <mergeCell ref="A793:C793"/>
    <mergeCell ref="A805:C805"/>
    <mergeCell ref="A594:A595"/>
    <mergeCell ref="A753:B753"/>
    <mergeCell ref="A651:C651"/>
    <mergeCell ref="A239:C239"/>
    <mergeCell ref="A596:C596"/>
    <mergeCell ref="A367:C367"/>
    <mergeCell ref="A539:C539"/>
    <mergeCell ref="A376:C376"/>
    <mergeCell ref="A243:I243"/>
    <mergeCell ref="A512:C512"/>
    <mergeCell ref="A524:C524"/>
    <mergeCell ref="D419:I419"/>
    <mergeCell ref="A360:C360"/>
    <mergeCell ref="A238:C238"/>
    <mergeCell ref="A657:C657"/>
    <mergeCell ref="A661:C661"/>
    <mergeCell ref="C594:C595"/>
    <mergeCell ref="A589:D589"/>
    <mergeCell ref="A593:I593"/>
    <mergeCell ref="A652:C652"/>
    <mergeCell ref="A368:C368"/>
    <mergeCell ref="A509:I509"/>
    <mergeCell ref="A583:C583"/>
    <mergeCell ref="B298:B299"/>
    <mergeCell ref="A136:C136"/>
    <mergeCell ref="A190:C190"/>
    <mergeCell ref="A417:D417"/>
    <mergeCell ref="A298:A299"/>
    <mergeCell ref="B510:B511"/>
    <mergeCell ref="A207:C207"/>
    <mergeCell ref="A138:C138"/>
    <mergeCell ref="C298:C299"/>
    <mergeCell ref="A141:C141"/>
    <mergeCell ref="A418:I418"/>
    <mergeCell ref="A448:I448"/>
    <mergeCell ref="A453:B453"/>
    <mergeCell ref="A508:D508"/>
    <mergeCell ref="A419:A420"/>
    <mergeCell ref="C419:C420"/>
    <mergeCell ref="A429:C429"/>
    <mergeCell ref="A432:C432"/>
    <mergeCell ref="A446:C446"/>
    <mergeCell ref="A441:C441"/>
    <mergeCell ref="A240:C240"/>
    <mergeCell ref="A219:I219"/>
    <mergeCell ref="A6:A7"/>
    <mergeCell ref="A151:C151"/>
    <mergeCell ref="C153:D153"/>
    <mergeCell ref="A301:C301"/>
    <mergeCell ref="A257:C257"/>
    <mergeCell ref="D298:I298"/>
    <mergeCell ref="D6:I6"/>
    <mergeCell ref="A9:C9"/>
    <mergeCell ref="A174:C174"/>
    <mergeCell ref="A118:C118"/>
    <mergeCell ref="C6:C7"/>
    <mergeCell ref="B6:B7"/>
    <mergeCell ref="A8:C8"/>
    <mergeCell ref="A153:B153"/>
    <mergeCell ref="B105:B106"/>
    <mergeCell ref="A133:C133"/>
    <mergeCell ref="A105:A106"/>
    <mergeCell ref="C105:C106"/>
    <mergeCell ref="A5:I5"/>
    <mergeCell ref="A103:D103"/>
    <mergeCell ref="A43:C43"/>
    <mergeCell ref="A59:C59"/>
    <mergeCell ref="A74:C74"/>
    <mergeCell ref="A23:I23"/>
    <mergeCell ref="A96:C96"/>
    <mergeCell ref="A102:C102"/>
    <mergeCell ref="A42:C42"/>
    <mergeCell ref="A95:I95"/>
    <mergeCell ref="A196:C196"/>
    <mergeCell ref="P954:W954"/>
    <mergeCell ref="A195:I195"/>
    <mergeCell ref="A201:C201"/>
    <mergeCell ref="A276:C276"/>
    <mergeCell ref="A140:C140"/>
    <mergeCell ref="N879:O879"/>
    <mergeCell ref="P939:Q939"/>
    <mergeCell ref="R939:W939"/>
    <mergeCell ref="R941:R943"/>
    <mergeCell ref="A415:C415"/>
    <mergeCell ref="C453:D453"/>
    <mergeCell ref="A296:D296"/>
    <mergeCell ref="R938:W938"/>
    <mergeCell ref="A449:C449"/>
    <mergeCell ref="A361:C361"/>
    <mergeCell ref="A436:C436"/>
    <mergeCell ref="B419:B420"/>
    <mergeCell ref="A442:C442"/>
    <mergeCell ref="A467:C467"/>
    <mergeCell ref="D105:I105"/>
    <mergeCell ref="P890:Q890"/>
    <mergeCell ref="P892:Q892"/>
    <mergeCell ref="N876:O876"/>
    <mergeCell ref="P876:R876"/>
    <mergeCell ref="N877:O877"/>
    <mergeCell ref="P877:R877"/>
    <mergeCell ref="N878:O878"/>
    <mergeCell ref="P878:R878"/>
    <mergeCell ref="P879:R879"/>
    <mergeCell ref="P961:Q961"/>
    <mergeCell ref="R961:W961"/>
    <mergeCell ref="Q962:W962"/>
    <mergeCell ref="P955:W955"/>
    <mergeCell ref="P938:Q938"/>
    <mergeCell ref="P941:Q941"/>
    <mergeCell ref="S941:V941"/>
    <mergeCell ref="S942:T942"/>
    <mergeCell ref="U942:V942"/>
    <mergeCell ref="R953:S953"/>
    <mergeCell ref="R958:W958"/>
    <mergeCell ref="R959:W959"/>
    <mergeCell ref="S964:T964"/>
    <mergeCell ref="U964:V964"/>
    <mergeCell ref="R945:S945"/>
    <mergeCell ref="R948:S948"/>
    <mergeCell ref="R952:S952"/>
    <mergeCell ref="P956:W956"/>
    <mergeCell ref="R957:W957"/>
    <mergeCell ref="R960:W960"/>
    <mergeCell ref="S963:T963"/>
    <mergeCell ref="U963:V963"/>
    <mergeCell ref="S968:T968"/>
    <mergeCell ref="U968:V968"/>
    <mergeCell ref="A24:B24"/>
    <mergeCell ref="A129:C129"/>
    <mergeCell ref="A234:C234"/>
    <mergeCell ref="A245:C245"/>
    <mergeCell ref="A40:C40"/>
    <mergeCell ref="A30:C30"/>
    <mergeCell ref="A108:C108"/>
    <mergeCell ref="A100:C100"/>
    <mergeCell ref="A275:I275"/>
    <mergeCell ref="A288:C288"/>
    <mergeCell ref="A294:C294"/>
    <mergeCell ref="A967:C967"/>
    <mergeCell ref="A966:I966"/>
    <mergeCell ref="A422:C422"/>
    <mergeCell ref="A587:C587"/>
    <mergeCell ref="A297:I297"/>
    <mergeCell ref="A204:I204"/>
    <mergeCell ref="D205:I205"/>
    <mergeCell ref="A220:C220"/>
    <mergeCell ref="B205:B206"/>
    <mergeCell ref="A408:C408"/>
    <mergeCell ref="A407:I407"/>
    <mergeCell ref="A402:C402"/>
    <mergeCell ref="A208:C208"/>
    <mergeCell ref="A336:C336"/>
    <mergeCell ref="A318:I318"/>
    <mergeCell ref="A579:C579"/>
    <mergeCell ref="A733:D733"/>
    <mergeCell ref="A479:I479"/>
    <mergeCell ref="A480:C480"/>
    <mergeCell ref="A502:C502"/>
    <mergeCell ref="A510:A511"/>
    <mergeCell ref="A513:C513"/>
    <mergeCell ref="A590:D590"/>
    <mergeCell ref="I590:I592"/>
    <mergeCell ref="A625:C625"/>
    <mergeCell ref="A891:C891"/>
    <mergeCell ref="A493:C493"/>
    <mergeCell ref="A565:C565"/>
    <mergeCell ref="A537:C537"/>
    <mergeCell ref="A591:D591"/>
    <mergeCell ref="A538:C538"/>
    <mergeCell ref="C510:C511"/>
    <mergeCell ref="A506:C506"/>
    <mergeCell ref="A820:C820"/>
    <mergeCell ref="A763:C763"/>
    <mergeCell ref="A1075:I1075"/>
    <mergeCell ref="A695:C695"/>
    <mergeCell ref="A936:I936"/>
    <mergeCell ref="A752:I752"/>
    <mergeCell ref="A1086:C1086"/>
    <mergeCell ref="A1090:C1090"/>
    <mergeCell ref="A842:C842"/>
    <mergeCell ref="C824:C825"/>
    <mergeCell ref="B824:B825"/>
    <mergeCell ref="A824:A825"/>
    <mergeCell ref="A1130:C1130"/>
    <mergeCell ref="A1133:C1133"/>
    <mergeCell ref="A611:I611"/>
    <mergeCell ref="A612:C612"/>
    <mergeCell ref="A1123:C1123"/>
    <mergeCell ref="A731:C731"/>
    <mergeCell ref="A734:I734"/>
    <mergeCell ref="A727:C727"/>
    <mergeCell ref="A1103:C1103"/>
    <mergeCell ref="A1076:C1076"/>
    <mergeCell ref="A1140:C1140"/>
    <mergeCell ref="A1148:C1148"/>
    <mergeCell ref="A1150:C1150"/>
    <mergeCell ref="A319:C319"/>
    <mergeCell ref="A335:I335"/>
    <mergeCell ref="A390:C390"/>
    <mergeCell ref="A1018:C1018"/>
    <mergeCell ref="A1029:I1029"/>
    <mergeCell ref="A1059:C1059"/>
    <mergeCell ref="A1113:C1113"/>
  </mergeCells>
  <printOptions horizontalCentered="1"/>
  <pageMargins left="0" right="0" top="0.5905511811023623" bottom="0.5905511811023623" header="0" footer="0"/>
  <pageSetup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37" sqref="A1:T37"/>
    </sheetView>
  </sheetViews>
  <sheetFormatPr defaultColWidth="9.140625" defaultRowHeight="12.75" outlineLevelCol="1"/>
  <cols>
    <col min="1" max="1" width="2.8515625" style="27" customWidth="1"/>
    <col min="2" max="2" width="43.7109375" style="27" customWidth="1"/>
    <col min="3" max="3" width="10.28125" style="27" customWidth="1"/>
    <col min="4" max="4" width="7.7109375" style="27" hidden="1" customWidth="1" outlineLevel="1"/>
    <col min="5" max="5" width="13.00390625" style="27" customWidth="1" collapsed="1"/>
    <col min="6" max="17" width="4.7109375" style="27" customWidth="1"/>
    <col min="18" max="18" width="8.57421875" style="27" customWidth="1"/>
    <col min="19" max="19" width="8.140625" style="27" customWidth="1"/>
    <col min="20" max="20" width="8.8515625" style="79" customWidth="1"/>
  </cols>
  <sheetData>
    <row r="1" spans="1:26" s="17" customFormat="1" ht="12.75" customHeight="1">
      <c r="A1" s="570" t="s">
        <v>506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316"/>
      <c r="V1" s="316"/>
      <c r="W1" s="316"/>
      <c r="X1" s="316"/>
      <c r="Y1" s="316"/>
      <c r="Z1" s="316"/>
    </row>
    <row r="2" spans="1:20" s="7" customFormat="1" ht="11.25" customHeight="1">
      <c r="A2" s="512" t="s">
        <v>36</v>
      </c>
      <c r="B2" s="573" t="s">
        <v>105</v>
      </c>
      <c r="C2" s="573" t="s">
        <v>92</v>
      </c>
      <c r="D2" s="573" t="s">
        <v>96</v>
      </c>
      <c r="E2" s="573" t="s">
        <v>161</v>
      </c>
      <c r="F2" s="512" t="s">
        <v>55</v>
      </c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76" t="s">
        <v>111</v>
      </c>
      <c r="S2" s="571" t="s">
        <v>160</v>
      </c>
      <c r="T2" s="572" t="s">
        <v>37</v>
      </c>
    </row>
    <row r="3" spans="1:20" s="7" customFormat="1" ht="10.5" customHeight="1">
      <c r="A3" s="512"/>
      <c r="B3" s="573"/>
      <c r="C3" s="573"/>
      <c r="D3" s="573"/>
      <c r="E3" s="573"/>
      <c r="F3" s="575" t="s">
        <v>38</v>
      </c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6"/>
      <c r="S3" s="571"/>
      <c r="T3" s="572"/>
    </row>
    <row r="4" spans="1:20" s="7" customFormat="1" ht="33" customHeight="1">
      <c r="A4" s="512"/>
      <c r="B4" s="573"/>
      <c r="C4" s="573"/>
      <c r="D4" s="573"/>
      <c r="E4" s="573"/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8">
        <v>6</v>
      </c>
      <c r="L4" s="58">
        <v>7</v>
      </c>
      <c r="M4" s="58">
        <v>8</v>
      </c>
      <c r="N4" s="58">
        <v>9</v>
      </c>
      <c r="O4" s="58">
        <v>10</v>
      </c>
      <c r="P4" s="58">
        <v>11</v>
      </c>
      <c r="Q4" s="58">
        <v>12</v>
      </c>
      <c r="R4" s="576"/>
      <c r="S4" s="571"/>
      <c r="T4" s="572"/>
    </row>
    <row r="5" spans="1:20" s="120" customFormat="1" ht="12.75" customHeight="1">
      <c r="A5" s="105">
        <v>1</v>
      </c>
      <c r="B5" s="347" t="s">
        <v>176</v>
      </c>
      <c r="C5" s="348">
        <v>120</v>
      </c>
      <c r="D5" s="104">
        <v>56.5</v>
      </c>
      <c r="E5" s="151">
        <f>C5*D5/100</f>
        <v>67.8</v>
      </c>
      <c r="F5" s="106">
        <f>Меню!L9</f>
        <v>70</v>
      </c>
      <c r="G5" s="106">
        <f>Меню!L109</f>
        <v>50</v>
      </c>
      <c r="H5" s="106">
        <f>Меню!L209</f>
        <v>70</v>
      </c>
      <c r="I5" s="106">
        <f>Меню!L303</f>
        <v>70</v>
      </c>
      <c r="J5" s="106">
        <f>Меню!L442</f>
        <v>70</v>
      </c>
      <c r="K5" s="106">
        <f>Меню!L548</f>
        <v>70</v>
      </c>
      <c r="L5" s="106">
        <f>Меню!L626</f>
        <v>70</v>
      </c>
      <c r="M5" s="106">
        <f>Меню!L751</f>
        <v>80</v>
      </c>
      <c r="N5" s="106">
        <f>Меню!L848</f>
        <v>70</v>
      </c>
      <c r="O5" s="106">
        <f>Меню!L971</f>
        <v>50</v>
      </c>
      <c r="P5" s="106">
        <f>Меню!L1029</f>
        <v>50</v>
      </c>
      <c r="Q5" s="106">
        <f>Меню!L1133</f>
        <v>90</v>
      </c>
      <c r="R5" s="106">
        <f>SUM(F5:Q5)</f>
        <v>810</v>
      </c>
      <c r="S5" s="151">
        <f>R5/12</f>
        <v>67.5</v>
      </c>
      <c r="T5" s="107">
        <f>S5*100/E5</f>
        <v>99.5575221238938</v>
      </c>
    </row>
    <row r="6" spans="1:20" s="120" customFormat="1" ht="12.75" customHeight="1">
      <c r="A6" s="105">
        <v>2</v>
      </c>
      <c r="B6" s="347" t="s">
        <v>136</v>
      </c>
      <c r="C6" s="348">
        <v>200</v>
      </c>
      <c r="D6" s="104">
        <v>54.5</v>
      </c>
      <c r="E6" s="151">
        <f>C6*D6/100</f>
        <v>109</v>
      </c>
      <c r="F6" s="106">
        <f>Меню!L10</f>
        <v>225</v>
      </c>
      <c r="G6" s="106">
        <f>Меню!L110</f>
        <v>60</v>
      </c>
      <c r="H6" s="106">
        <f>Меню!L210</f>
        <v>97</v>
      </c>
      <c r="I6" s="106">
        <f>Меню!L304</f>
        <v>88</v>
      </c>
      <c r="J6" s="106">
        <f>Меню!L443</f>
        <v>138.5</v>
      </c>
      <c r="K6" s="106">
        <f>Меню!L549</f>
        <v>118</v>
      </c>
      <c r="L6" s="106">
        <f>Меню!L627</f>
        <v>113</v>
      </c>
      <c r="M6" s="106">
        <f>Меню!L752</f>
        <v>90</v>
      </c>
      <c r="N6" s="106">
        <f>Меню!L849</f>
        <v>119</v>
      </c>
      <c r="O6" s="106">
        <f>Меню!L972</f>
        <v>100</v>
      </c>
      <c r="P6" s="106">
        <f>Меню!L1030</f>
        <v>40</v>
      </c>
      <c r="Q6" s="106">
        <f>Меню!L1134</f>
        <v>120</v>
      </c>
      <c r="R6" s="106">
        <f aca="true" t="shared" si="0" ref="R6:R35">SUM(F6:Q6)</f>
        <v>1308.5</v>
      </c>
      <c r="S6" s="151">
        <f aca="true" t="shared" si="1" ref="S6:S35">R6/12</f>
        <v>109.04166666666667</v>
      </c>
      <c r="T6" s="107">
        <f aca="true" t="shared" si="2" ref="T6:T34">S6*100/E6</f>
        <v>100.0382262996942</v>
      </c>
    </row>
    <row r="7" spans="1:20" s="120" customFormat="1" ht="12.75" customHeight="1">
      <c r="A7" s="105">
        <v>3</v>
      </c>
      <c r="B7" s="105" t="s">
        <v>162</v>
      </c>
      <c r="C7" s="348">
        <v>20</v>
      </c>
      <c r="D7" s="104">
        <v>59</v>
      </c>
      <c r="E7" s="151">
        <f aca="true" t="shared" si="3" ref="E7:E35">C7*D7/100</f>
        <v>11.8</v>
      </c>
      <c r="F7" s="106">
        <f>Меню!L11</f>
        <v>0</v>
      </c>
      <c r="G7" s="106">
        <f>Меню!L111</f>
        <v>21.5</v>
      </c>
      <c r="H7" s="106">
        <f>Меню!L211</f>
        <v>0</v>
      </c>
      <c r="I7" s="106">
        <f>Меню!L305</f>
        <v>8</v>
      </c>
      <c r="J7" s="106">
        <f>Меню!L444</f>
        <v>7</v>
      </c>
      <c r="K7" s="106">
        <f>Меню!L550</f>
        <v>0</v>
      </c>
      <c r="L7" s="106">
        <f>Меню!L628</f>
        <v>11.5</v>
      </c>
      <c r="M7" s="106">
        <f>Меню!L753</f>
        <v>2</v>
      </c>
      <c r="N7" s="106">
        <f>Меню!L850</f>
        <v>9</v>
      </c>
      <c r="O7" s="106">
        <f>Меню!L973</f>
        <v>22</v>
      </c>
      <c r="P7" s="106">
        <f>Меню!L1031</f>
        <v>61.3</v>
      </c>
      <c r="Q7" s="106">
        <f>Меню!L1135</f>
        <v>0</v>
      </c>
      <c r="R7" s="106">
        <f t="shared" si="0"/>
        <v>142.3</v>
      </c>
      <c r="S7" s="151">
        <f t="shared" si="1"/>
        <v>11.858333333333334</v>
      </c>
      <c r="T7" s="107">
        <f t="shared" si="2"/>
        <v>100.49435028248588</v>
      </c>
    </row>
    <row r="8" spans="1:20" s="120" customFormat="1" ht="12.75" customHeight="1">
      <c r="A8" s="105">
        <v>4</v>
      </c>
      <c r="B8" s="347" t="s">
        <v>72</v>
      </c>
      <c r="C8" s="349">
        <v>50</v>
      </c>
      <c r="D8" s="104">
        <v>78</v>
      </c>
      <c r="E8" s="151">
        <f t="shared" si="3"/>
        <v>39</v>
      </c>
      <c r="F8" s="106">
        <f>Меню!L12</f>
        <v>10</v>
      </c>
      <c r="G8" s="106">
        <f>Меню!L112</f>
        <v>79</v>
      </c>
      <c r="H8" s="106">
        <f>Меню!L212</f>
        <v>12.363636363636363</v>
      </c>
      <c r="I8" s="106">
        <f>Меню!L306</f>
        <v>45</v>
      </c>
      <c r="J8" s="106">
        <f>Меню!L445</f>
        <v>16.666666666666668</v>
      </c>
      <c r="K8" s="106">
        <f>Меню!L551</f>
        <v>103</v>
      </c>
      <c r="L8" s="106">
        <f>Меню!L629</f>
        <v>0</v>
      </c>
      <c r="M8" s="106">
        <f>Меню!L754</f>
        <v>65</v>
      </c>
      <c r="N8" s="106">
        <f>Меню!L851</f>
        <v>61</v>
      </c>
      <c r="O8" s="106">
        <f>Меню!L974</f>
        <v>5</v>
      </c>
      <c r="P8" s="106">
        <f>Меню!L1032</f>
        <v>71</v>
      </c>
      <c r="Q8" s="106">
        <f>Меню!L1136</f>
        <v>0</v>
      </c>
      <c r="R8" s="106">
        <f t="shared" si="0"/>
        <v>468.030303030303</v>
      </c>
      <c r="S8" s="151">
        <f t="shared" si="1"/>
        <v>39.00252525252525</v>
      </c>
      <c r="T8" s="107">
        <f t="shared" si="2"/>
        <v>100.006475006475</v>
      </c>
    </row>
    <row r="9" spans="1:20" s="120" customFormat="1" ht="12.75" customHeight="1">
      <c r="A9" s="105">
        <v>5</v>
      </c>
      <c r="B9" s="347" t="s">
        <v>177</v>
      </c>
      <c r="C9" s="349">
        <v>20</v>
      </c>
      <c r="D9" s="104">
        <v>61</v>
      </c>
      <c r="E9" s="151">
        <f t="shared" si="3"/>
        <v>12.2</v>
      </c>
      <c r="F9" s="106">
        <f>Меню!L13</f>
        <v>0</v>
      </c>
      <c r="G9" s="106">
        <f>Меню!L113</f>
        <v>0</v>
      </c>
      <c r="H9" s="106">
        <f>Меню!L213</f>
        <v>0</v>
      </c>
      <c r="I9" s="106">
        <f>Меню!L307</f>
        <v>0</v>
      </c>
      <c r="J9" s="106">
        <f>Меню!L446</f>
        <v>65</v>
      </c>
      <c r="K9" s="106">
        <f>Меню!L552</f>
        <v>0</v>
      </c>
      <c r="L9" s="106">
        <f>Меню!L630</f>
        <v>20</v>
      </c>
      <c r="M9" s="106">
        <f>Меню!L755</f>
        <v>0</v>
      </c>
      <c r="N9" s="106">
        <f>Меню!L852</f>
        <v>0</v>
      </c>
      <c r="O9" s="106">
        <f>Меню!L975</f>
        <v>0</v>
      </c>
      <c r="P9" s="106">
        <f>Меню!L1033</f>
        <v>0</v>
      </c>
      <c r="Q9" s="106">
        <f>Меню!L1137</f>
        <v>62</v>
      </c>
      <c r="R9" s="106">
        <f t="shared" si="0"/>
        <v>147</v>
      </c>
      <c r="S9" s="151">
        <f t="shared" si="1"/>
        <v>12.25</v>
      </c>
      <c r="T9" s="107">
        <f t="shared" si="2"/>
        <v>100.40983606557377</v>
      </c>
    </row>
    <row r="10" spans="1:20" s="120" customFormat="1" ht="12.75" customHeight="1">
      <c r="A10" s="105">
        <v>6</v>
      </c>
      <c r="B10" s="105" t="s">
        <v>28</v>
      </c>
      <c r="C10" s="348">
        <v>187</v>
      </c>
      <c r="D10" s="104">
        <v>87</v>
      </c>
      <c r="E10" s="151">
        <f t="shared" si="3"/>
        <v>162.69</v>
      </c>
      <c r="F10" s="106">
        <f>Меню!L14</f>
        <v>224</v>
      </c>
      <c r="G10" s="106">
        <f>Меню!L114</f>
        <v>227</v>
      </c>
      <c r="H10" s="106">
        <f>Меню!L214</f>
        <v>180</v>
      </c>
      <c r="I10" s="106">
        <f>Меню!L308</f>
        <v>191</v>
      </c>
      <c r="J10" s="106">
        <f>Меню!L447</f>
        <v>232</v>
      </c>
      <c r="K10" s="106">
        <f>Меню!L553</f>
        <v>43.333333333333336</v>
      </c>
      <c r="L10" s="106">
        <f>Меню!L631</f>
        <v>189</v>
      </c>
      <c r="M10" s="106">
        <f>Меню!L756</f>
        <v>100</v>
      </c>
      <c r="N10" s="106">
        <f>Меню!L853</f>
        <v>37</v>
      </c>
      <c r="O10" s="106">
        <f>Меню!L976</f>
        <v>228</v>
      </c>
      <c r="P10" s="106">
        <f>Меню!L1034</f>
        <v>95</v>
      </c>
      <c r="Q10" s="106">
        <f>Меню!L1138</f>
        <v>198</v>
      </c>
      <c r="R10" s="106">
        <f t="shared" si="0"/>
        <v>1944.3333333333333</v>
      </c>
      <c r="S10" s="151">
        <f t="shared" si="1"/>
        <v>162.02777777777777</v>
      </c>
      <c r="T10" s="107">
        <f t="shared" si="2"/>
        <v>99.5929545625286</v>
      </c>
    </row>
    <row r="11" spans="1:20" s="120" customFormat="1" ht="28.5" customHeight="1">
      <c r="A11" s="105">
        <v>7</v>
      </c>
      <c r="B11" s="347" t="s">
        <v>353</v>
      </c>
      <c r="C11" s="348">
        <v>320</v>
      </c>
      <c r="D11" s="104">
        <v>70</v>
      </c>
      <c r="E11" s="151">
        <f t="shared" si="3"/>
        <v>224</v>
      </c>
      <c r="F11" s="106">
        <f>Меню!L15</f>
        <v>212.875</v>
      </c>
      <c r="G11" s="106">
        <f>Меню!L115</f>
        <v>216.7</v>
      </c>
      <c r="H11" s="106">
        <f>Меню!L215</f>
        <v>178</v>
      </c>
      <c r="I11" s="106">
        <f>Меню!L309</f>
        <v>218</v>
      </c>
      <c r="J11" s="106">
        <f>Меню!L448</f>
        <v>221</v>
      </c>
      <c r="K11" s="106">
        <f>Меню!L554</f>
        <v>197.83333333333331</v>
      </c>
      <c r="L11" s="106">
        <f>Меню!L632</f>
        <v>291.7</v>
      </c>
      <c r="M11" s="106">
        <f>Меню!L757</f>
        <v>217.1</v>
      </c>
      <c r="N11" s="106">
        <f>Меню!L854</f>
        <v>520.5999999999999</v>
      </c>
      <c r="O11" s="106">
        <f>Меню!L977</f>
        <v>124.2</v>
      </c>
      <c r="P11" s="106">
        <f>Меню!L1035</f>
        <v>122.2</v>
      </c>
      <c r="Q11" s="106">
        <f>Меню!L1139</f>
        <v>155.7</v>
      </c>
      <c r="R11" s="106">
        <f t="shared" si="0"/>
        <v>2675.908333333333</v>
      </c>
      <c r="S11" s="151">
        <f t="shared" si="1"/>
        <v>222.99236111111108</v>
      </c>
      <c r="T11" s="107">
        <f t="shared" si="2"/>
        <v>99.55016121031746</v>
      </c>
    </row>
    <row r="12" spans="1:20" s="120" customFormat="1" ht="12.75" customHeight="1">
      <c r="A12" s="105">
        <v>8</v>
      </c>
      <c r="B12" s="105" t="s">
        <v>29</v>
      </c>
      <c r="C12" s="348">
        <v>185</v>
      </c>
      <c r="D12" s="104">
        <v>69</v>
      </c>
      <c r="E12" s="151">
        <f t="shared" si="3"/>
        <v>127.65</v>
      </c>
      <c r="F12" s="106">
        <f>Меню!L16</f>
        <v>160</v>
      </c>
      <c r="G12" s="106">
        <f>Меню!L116</f>
        <v>150</v>
      </c>
      <c r="H12" s="106">
        <f>Меню!L216</f>
        <v>181</v>
      </c>
      <c r="I12" s="106">
        <f>Меню!L310</f>
        <v>181</v>
      </c>
      <c r="J12" s="106">
        <f>Меню!L449</f>
        <v>26.4</v>
      </c>
      <c r="K12" s="106">
        <f>Меню!L555</f>
        <v>150</v>
      </c>
      <c r="L12" s="106">
        <f>Меню!L633</f>
        <v>157</v>
      </c>
      <c r="M12" s="106">
        <f>Меню!L758</f>
        <v>185</v>
      </c>
      <c r="N12" s="106">
        <f>Меню!L855</f>
        <v>0</v>
      </c>
      <c r="O12" s="106">
        <f>Меню!L978</f>
        <v>31</v>
      </c>
      <c r="P12" s="106">
        <f>Меню!L1036</f>
        <v>160</v>
      </c>
      <c r="Q12" s="106">
        <f>Меню!L1140</f>
        <v>150</v>
      </c>
      <c r="R12" s="106">
        <f t="shared" si="0"/>
        <v>1531.4</v>
      </c>
      <c r="S12" s="151">
        <f t="shared" si="1"/>
        <v>127.61666666666667</v>
      </c>
      <c r="T12" s="107">
        <f t="shared" si="2"/>
        <v>99.97388693040867</v>
      </c>
    </row>
    <row r="13" spans="1:20" s="120" customFormat="1" ht="12.75" customHeight="1">
      <c r="A13" s="105">
        <v>9</v>
      </c>
      <c r="B13" s="105" t="s">
        <v>178</v>
      </c>
      <c r="C13" s="348">
        <v>20</v>
      </c>
      <c r="D13" s="104">
        <v>31.2</v>
      </c>
      <c r="E13" s="151">
        <f t="shared" si="3"/>
        <v>6.24</v>
      </c>
      <c r="F13" s="106">
        <f>Меню!L17</f>
        <v>0</v>
      </c>
      <c r="G13" s="106">
        <f>Меню!L117</f>
        <v>0</v>
      </c>
      <c r="H13" s="106">
        <f>Меню!L217</f>
        <v>0</v>
      </c>
      <c r="I13" s="106">
        <f>Меню!L311</f>
        <v>25</v>
      </c>
      <c r="J13" s="106">
        <f>Меню!L450</f>
        <v>0</v>
      </c>
      <c r="K13" s="106">
        <f>Меню!L556</f>
        <v>25</v>
      </c>
      <c r="L13" s="106">
        <f>Меню!L634</f>
        <v>0</v>
      </c>
      <c r="M13" s="106">
        <f>Меню!L759</f>
        <v>0</v>
      </c>
      <c r="N13" s="106">
        <f>Меню!L856</f>
        <v>25</v>
      </c>
      <c r="O13" s="106">
        <f>Меню!L979</f>
        <v>0</v>
      </c>
      <c r="P13" s="106">
        <f>Меню!L1037</f>
        <v>0</v>
      </c>
      <c r="Q13" s="106">
        <f>Меню!L1141</f>
        <v>0</v>
      </c>
      <c r="R13" s="106">
        <f t="shared" si="0"/>
        <v>75</v>
      </c>
      <c r="S13" s="151">
        <f t="shared" si="1"/>
        <v>6.25</v>
      </c>
      <c r="T13" s="107">
        <f t="shared" si="2"/>
        <v>100.16025641025641</v>
      </c>
    </row>
    <row r="14" spans="1:20" s="120" customFormat="1" ht="39" customHeight="1">
      <c r="A14" s="105">
        <v>10</v>
      </c>
      <c r="B14" s="347" t="s">
        <v>354</v>
      </c>
      <c r="C14" s="350">
        <v>35</v>
      </c>
      <c r="D14" s="104">
        <v>67.5</v>
      </c>
      <c r="E14" s="151">
        <f t="shared" si="3"/>
        <v>23.625</v>
      </c>
      <c r="F14" s="106">
        <f>Меню!L18</f>
        <v>16</v>
      </c>
      <c r="G14" s="106">
        <f>Меню!L118</f>
        <v>12</v>
      </c>
      <c r="H14" s="106">
        <f>Меню!L218</f>
        <v>40</v>
      </c>
      <c r="I14" s="106">
        <f>Меню!L312</f>
        <v>15</v>
      </c>
      <c r="J14" s="106">
        <f>Меню!L451</f>
        <v>27</v>
      </c>
      <c r="K14" s="106">
        <f>Меню!L557</f>
        <v>31.6</v>
      </c>
      <c r="L14" s="106">
        <f>Меню!L635</f>
        <v>15</v>
      </c>
      <c r="M14" s="106">
        <f>Меню!L760</f>
        <v>27</v>
      </c>
      <c r="N14" s="106">
        <f>Меню!L857</f>
        <v>28.5</v>
      </c>
      <c r="O14" s="106">
        <f>Меню!L980</f>
        <v>39</v>
      </c>
      <c r="P14" s="106">
        <f>Меню!L1038</f>
        <v>18</v>
      </c>
      <c r="Q14" s="106">
        <f>Меню!L1142</f>
        <v>15</v>
      </c>
      <c r="R14" s="106">
        <f t="shared" si="0"/>
        <v>284.1</v>
      </c>
      <c r="S14" s="151">
        <f t="shared" si="1"/>
        <v>23.675</v>
      </c>
      <c r="T14" s="107">
        <f t="shared" si="2"/>
        <v>100.21164021164022</v>
      </c>
    </row>
    <row r="15" spans="1:20" s="351" customFormat="1" ht="12.75" customHeight="1">
      <c r="A15" s="105">
        <v>11</v>
      </c>
      <c r="B15" s="347" t="s">
        <v>395</v>
      </c>
      <c r="C15" s="350">
        <v>200</v>
      </c>
      <c r="D15" s="104">
        <v>50</v>
      </c>
      <c r="E15" s="151">
        <f t="shared" si="3"/>
        <v>100</v>
      </c>
      <c r="F15" s="106">
        <f>Меню!L19</f>
        <v>200</v>
      </c>
      <c r="G15" s="106">
        <f>Меню!L119</f>
        <v>200</v>
      </c>
      <c r="H15" s="106">
        <f>Меню!L219</f>
        <v>0</v>
      </c>
      <c r="I15" s="106">
        <f>Меню!L313</f>
        <v>200</v>
      </c>
      <c r="J15" s="106">
        <f>Меню!L452</f>
        <v>0</v>
      </c>
      <c r="K15" s="106">
        <f>Меню!L558</f>
        <v>0</v>
      </c>
      <c r="L15" s="106">
        <f>Меню!L636</f>
        <v>200</v>
      </c>
      <c r="M15" s="106">
        <f>Меню!L761</f>
        <v>0</v>
      </c>
      <c r="N15" s="106">
        <f>Меню!L858</f>
        <v>0</v>
      </c>
      <c r="O15" s="106">
        <f>Меню!L981</f>
        <v>0</v>
      </c>
      <c r="P15" s="106">
        <f>Меню!L1039</f>
        <v>200</v>
      </c>
      <c r="Q15" s="106">
        <f>Меню!L1143</f>
        <v>200</v>
      </c>
      <c r="R15" s="106">
        <f t="shared" si="0"/>
        <v>1200</v>
      </c>
      <c r="S15" s="151">
        <f t="shared" si="1"/>
        <v>100</v>
      </c>
      <c r="T15" s="107">
        <f t="shared" si="2"/>
        <v>100</v>
      </c>
    </row>
    <row r="16" spans="1:20" s="351" customFormat="1" ht="12.75" customHeight="1">
      <c r="A16" s="105">
        <v>12</v>
      </c>
      <c r="B16" s="105" t="s">
        <v>31</v>
      </c>
      <c r="C16" s="348">
        <v>15</v>
      </c>
      <c r="D16" s="104">
        <v>61</v>
      </c>
      <c r="E16" s="151">
        <f t="shared" si="3"/>
        <v>9.15</v>
      </c>
      <c r="F16" s="106">
        <f>Меню!L20</f>
        <v>30</v>
      </c>
      <c r="G16" s="106">
        <f>Меню!L120</f>
        <v>0</v>
      </c>
      <c r="H16" s="106">
        <f>Меню!L220</f>
        <v>0</v>
      </c>
      <c r="I16" s="106">
        <f>Меню!L314</f>
        <v>0</v>
      </c>
      <c r="J16" s="106">
        <f>Меню!L453</f>
        <v>0</v>
      </c>
      <c r="K16" s="106">
        <f>Меню!L559</f>
        <v>0</v>
      </c>
      <c r="L16" s="106">
        <f>Меню!L637</f>
        <v>0</v>
      </c>
      <c r="M16" s="106">
        <f>Меню!L762</f>
        <v>30</v>
      </c>
      <c r="N16" s="106">
        <f>Меню!L859</f>
        <v>20</v>
      </c>
      <c r="O16" s="106">
        <f>Меню!L982</f>
        <v>30</v>
      </c>
      <c r="P16" s="106">
        <f>Меню!L1040</f>
        <v>0</v>
      </c>
      <c r="Q16" s="106">
        <f>Меню!L1144</f>
        <v>0</v>
      </c>
      <c r="R16" s="106">
        <f t="shared" si="0"/>
        <v>110</v>
      </c>
      <c r="S16" s="151">
        <f t="shared" si="1"/>
        <v>9.166666666666666</v>
      </c>
      <c r="T16" s="107">
        <f t="shared" si="2"/>
        <v>100.18214936247722</v>
      </c>
    </row>
    <row r="17" spans="1:20" s="120" customFormat="1" ht="12.75" customHeight="1">
      <c r="A17" s="105">
        <v>13</v>
      </c>
      <c r="B17" s="105" t="s">
        <v>77</v>
      </c>
      <c r="C17" s="348">
        <v>0.3</v>
      </c>
      <c r="D17" s="104">
        <v>12.5</v>
      </c>
      <c r="E17" s="429">
        <f t="shared" si="3"/>
        <v>0.0375</v>
      </c>
      <c r="F17" s="106">
        <f>Меню!L21</f>
        <v>0</v>
      </c>
      <c r="G17" s="106">
        <f>Меню!L121</f>
        <v>0</v>
      </c>
      <c r="H17" s="106">
        <f>Меню!L221</f>
        <v>0</v>
      </c>
      <c r="I17" s="106">
        <f>Меню!L315</f>
        <v>0</v>
      </c>
      <c r="J17" s="106">
        <f>Меню!L454</f>
        <v>0</v>
      </c>
      <c r="K17" s="106">
        <f>Меню!L560</f>
        <v>0</v>
      </c>
      <c r="L17" s="106">
        <f>Меню!L638</f>
        <v>0</v>
      </c>
      <c r="M17" s="106">
        <f>Меню!L763</f>
        <v>0</v>
      </c>
      <c r="N17" s="106">
        <f>Меню!L860</f>
        <v>0</v>
      </c>
      <c r="O17" s="106">
        <f>Меню!L983</f>
        <v>0</v>
      </c>
      <c r="P17" s="106">
        <f>Меню!L1041</f>
        <v>0.45</v>
      </c>
      <c r="Q17" s="426">
        <f>Меню!L1145</f>
        <v>0</v>
      </c>
      <c r="R17" s="106">
        <f t="shared" si="0"/>
        <v>0.45</v>
      </c>
      <c r="S17" s="151">
        <f t="shared" si="1"/>
        <v>0.0375</v>
      </c>
      <c r="T17" s="107">
        <f t="shared" si="2"/>
        <v>100</v>
      </c>
    </row>
    <row r="18" spans="1:20" s="120" customFormat="1" ht="12.75" customHeight="1">
      <c r="A18" s="105">
        <v>14</v>
      </c>
      <c r="B18" s="347" t="s">
        <v>39</v>
      </c>
      <c r="C18" s="348">
        <v>1.2</v>
      </c>
      <c r="D18" s="104">
        <v>69.5</v>
      </c>
      <c r="E18" s="151">
        <f t="shared" si="3"/>
        <v>0.834</v>
      </c>
      <c r="F18" s="106">
        <f>Меню!L22</f>
        <v>0</v>
      </c>
      <c r="G18" s="106">
        <f>Меню!L122</f>
        <v>0</v>
      </c>
      <c r="H18" s="106">
        <f>Меню!L222</f>
        <v>0</v>
      </c>
      <c r="I18" s="106">
        <f>Меню!L316</f>
        <v>0</v>
      </c>
      <c r="J18" s="106">
        <f>Меню!L455</f>
        <v>0</v>
      </c>
      <c r="K18" s="106">
        <f>Меню!L561</f>
        <v>5</v>
      </c>
      <c r="L18" s="106">
        <f>Меню!L639</f>
        <v>0</v>
      </c>
      <c r="M18" s="106">
        <f>Меню!L764</f>
        <v>0</v>
      </c>
      <c r="N18" s="106">
        <f>Меню!L861</f>
        <v>0</v>
      </c>
      <c r="O18" s="106">
        <f>Меню!L984</f>
        <v>0</v>
      </c>
      <c r="P18" s="106">
        <f>Меню!L1042</f>
        <v>0</v>
      </c>
      <c r="Q18" s="106">
        <f>Меню!L1146</f>
        <v>5</v>
      </c>
      <c r="R18" s="106">
        <f t="shared" si="0"/>
        <v>10</v>
      </c>
      <c r="S18" s="151">
        <f t="shared" si="1"/>
        <v>0.8333333333333334</v>
      </c>
      <c r="T18" s="107">
        <f t="shared" si="2"/>
        <v>99.92006394884095</v>
      </c>
    </row>
    <row r="19" spans="1:20" s="120" customFormat="1" ht="12.75" customHeight="1">
      <c r="A19" s="105">
        <v>15</v>
      </c>
      <c r="B19" s="105" t="s">
        <v>179</v>
      </c>
      <c r="C19" s="348">
        <v>2</v>
      </c>
      <c r="D19" s="104">
        <v>33.5</v>
      </c>
      <c r="E19" s="151">
        <f t="shared" si="3"/>
        <v>0.67</v>
      </c>
      <c r="F19" s="106">
        <f>Меню!L23</f>
        <v>4</v>
      </c>
      <c r="G19" s="106">
        <f>Меню!L123</f>
        <v>0</v>
      </c>
      <c r="H19" s="106">
        <f>Меню!L223</f>
        <v>0</v>
      </c>
      <c r="I19" s="106">
        <f>Меню!L317</f>
        <v>0</v>
      </c>
      <c r="J19" s="106">
        <f>Меню!L456</f>
        <v>0</v>
      </c>
      <c r="K19" s="106">
        <f>Меню!L562</f>
        <v>0</v>
      </c>
      <c r="L19" s="106">
        <f>Меню!L640</f>
        <v>0</v>
      </c>
      <c r="M19" s="106">
        <f>Меню!L765</f>
        <v>0</v>
      </c>
      <c r="N19" s="106">
        <f>Меню!L862</f>
        <v>4</v>
      </c>
      <c r="O19" s="106">
        <f>Меню!L985</f>
        <v>0</v>
      </c>
      <c r="P19" s="106">
        <f>Меню!L1043</f>
        <v>0</v>
      </c>
      <c r="Q19" s="106">
        <f>Меню!L1147</f>
        <v>0</v>
      </c>
      <c r="R19" s="106">
        <f t="shared" si="0"/>
        <v>8</v>
      </c>
      <c r="S19" s="151">
        <f t="shared" si="1"/>
        <v>0.6666666666666666</v>
      </c>
      <c r="T19" s="107">
        <f t="shared" si="2"/>
        <v>99.50248756218903</v>
      </c>
    </row>
    <row r="20" spans="1:20" s="120" customFormat="1" ht="12.75" customHeight="1">
      <c r="A20" s="105">
        <v>16</v>
      </c>
      <c r="B20" s="105" t="s">
        <v>32</v>
      </c>
      <c r="C20" s="348">
        <v>2</v>
      </c>
      <c r="D20" s="104">
        <v>58.5</v>
      </c>
      <c r="E20" s="151">
        <f t="shared" si="3"/>
        <v>1.17</v>
      </c>
      <c r="F20" s="106">
        <f>Меню!L24</f>
        <v>0</v>
      </c>
      <c r="G20" s="106">
        <f>Меню!L124</f>
        <v>2</v>
      </c>
      <c r="H20" s="106">
        <f>Меню!L224</f>
        <v>2</v>
      </c>
      <c r="I20" s="106">
        <f>Меню!L318</f>
        <v>0</v>
      </c>
      <c r="J20" s="106">
        <f>Меню!L457</f>
        <v>2</v>
      </c>
      <c r="K20" s="106">
        <f>Меню!L563</f>
        <v>0</v>
      </c>
      <c r="L20" s="106">
        <f>Меню!L641</f>
        <v>2</v>
      </c>
      <c r="M20" s="106">
        <f>Меню!L766</f>
        <v>2</v>
      </c>
      <c r="N20" s="106">
        <f>Меню!L863</f>
        <v>0</v>
      </c>
      <c r="O20" s="106">
        <f>Меню!L986</f>
        <v>2</v>
      </c>
      <c r="P20" s="106">
        <f>Меню!L1044</f>
        <v>2</v>
      </c>
      <c r="Q20" s="106">
        <f>Меню!L1148</f>
        <v>0</v>
      </c>
      <c r="R20" s="106">
        <f t="shared" si="0"/>
        <v>14</v>
      </c>
      <c r="S20" s="151">
        <f t="shared" si="1"/>
        <v>1.1666666666666667</v>
      </c>
      <c r="T20" s="107">
        <f t="shared" si="2"/>
        <v>99.71509971509973</v>
      </c>
    </row>
    <row r="21" spans="1:20" s="120" customFormat="1" ht="12.75" customHeight="1">
      <c r="A21" s="105">
        <v>17</v>
      </c>
      <c r="B21" s="105" t="s">
        <v>180</v>
      </c>
      <c r="C21" s="348">
        <v>78</v>
      </c>
      <c r="D21" s="104">
        <v>68.5</v>
      </c>
      <c r="E21" s="151">
        <f t="shared" si="3"/>
        <v>53.43</v>
      </c>
      <c r="F21" s="106">
        <f>Меню!L25</f>
        <v>16</v>
      </c>
      <c r="G21" s="106">
        <f>Меню!L125</f>
        <v>17</v>
      </c>
      <c r="H21" s="106">
        <f>Меню!L225</f>
        <v>0</v>
      </c>
      <c r="I21" s="106">
        <f>Меню!L319</f>
        <v>106</v>
      </c>
      <c r="J21" s="106">
        <f>Меню!L458</f>
        <v>95</v>
      </c>
      <c r="K21" s="106">
        <f>Меню!L564</f>
        <v>91</v>
      </c>
      <c r="L21" s="106">
        <f>Меню!L642</f>
        <v>109</v>
      </c>
      <c r="M21" s="106">
        <f>Меню!L767</f>
        <v>0</v>
      </c>
      <c r="N21" s="106">
        <f>Меню!L864</f>
        <v>95</v>
      </c>
      <c r="O21" s="106">
        <f>Меню!L987</f>
        <v>16</v>
      </c>
      <c r="P21" s="106">
        <f>Меню!L1045</f>
        <v>0</v>
      </c>
      <c r="Q21" s="106">
        <f>Меню!L1149</f>
        <v>96</v>
      </c>
      <c r="R21" s="106">
        <f t="shared" si="0"/>
        <v>641</v>
      </c>
      <c r="S21" s="107">
        <f t="shared" si="1"/>
        <v>53.416666666666664</v>
      </c>
      <c r="T21" s="107">
        <f t="shared" si="2"/>
        <v>99.97504523051967</v>
      </c>
    </row>
    <row r="22" spans="1:20" s="120" customFormat="1" ht="12.75" customHeight="1">
      <c r="A22" s="105">
        <v>18</v>
      </c>
      <c r="B22" s="347" t="s">
        <v>182</v>
      </c>
      <c r="C22" s="348">
        <v>53</v>
      </c>
      <c r="D22" s="104">
        <v>63</v>
      </c>
      <c r="E22" s="151">
        <f>C22*D22/100</f>
        <v>33.39</v>
      </c>
      <c r="F22" s="106">
        <f>Меню!L26</f>
        <v>0</v>
      </c>
      <c r="G22" s="106">
        <f>Меню!L126</f>
        <v>0</v>
      </c>
      <c r="H22" s="106">
        <f>Меню!L226</f>
        <v>62</v>
      </c>
      <c r="I22" s="106">
        <f>Меню!L320</f>
        <v>47</v>
      </c>
      <c r="J22" s="106">
        <f>Меню!L459</f>
        <v>80</v>
      </c>
      <c r="K22" s="106">
        <f>Меню!L565</f>
        <v>0</v>
      </c>
      <c r="L22" s="106">
        <f>Меню!L643</f>
        <v>49</v>
      </c>
      <c r="M22" s="106">
        <f>Меню!L768</f>
        <v>69</v>
      </c>
      <c r="N22" s="106">
        <f>Меню!L865</f>
        <v>67</v>
      </c>
      <c r="O22" s="106">
        <f>Меню!L988</f>
        <v>0</v>
      </c>
      <c r="P22" s="106">
        <f>Меню!L1046</f>
        <v>26</v>
      </c>
      <c r="Q22" s="106">
        <f>Меню!L1150</f>
        <v>0</v>
      </c>
      <c r="R22" s="106">
        <f>F22+G22+H22+I22+J22+K22+L22+M22+N22+O22+P22+Q22</f>
        <v>400</v>
      </c>
      <c r="S22" s="151">
        <f>R22/12</f>
        <v>33.333333333333336</v>
      </c>
      <c r="T22" s="107">
        <f t="shared" si="2"/>
        <v>99.8302885095338</v>
      </c>
    </row>
    <row r="23" spans="1:20" s="120" customFormat="1" ht="12.75" customHeight="1">
      <c r="A23" s="105">
        <v>19</v>
      </c>
      <c r="B23" s="105" t="s">
        <v>181</v>
      </c>
      <c r="C23" s="348">
        <v>40</v>
      </c>
      <c r="D23" s="104">
        <v>41</v>
      </c>
      <c r="E23" s="151">
        <f t="shared" si="3"/>
        <v>16.4</v>
      </c>
      <c r="F23" s="106">
        <f>Меню!L27</f>
        <v>0</v>
      </c>
      <c r="G23" s="106">
        <f>Меню!L127</f>
        <v>75</v>
      </c>
      <c r="H23" s="106">
        <f>Меню!L227</f>
        <v>0</v>
      </c>
      <c r="I23" s="106">
        <f>Меню!L321</f>
        <v>0</v>
      </c>
      <c r="J23" s="106">
        <f>Меню!L460</f>
        <v>0</v>
      </c>
      <c r="K23" s="106">
        <f>Меню!L566</f>
        <v>0</v>
      </c>
      <c r="L23" s="106">
        <f>Меню!L644</f>
        <v>0</v>
      </c>
      <c r="M23" s="106">
        <f>Меню!L769</f>
        <v>0</v>
      </c>
      <c r="N23" s="106">
        <f>Меню!L866</f>
        <v>0</v>
      </c>
      <c r="O23" s="106">
        <f>Меню!L989</f>
        <v>0</v>
      </c>
      <c r="P23" s="106">
        <f>Меню!L1047</f>
        <v>121</v>
      </c>
      <c r="Q23" s="106">
        <f>Меню!L1151</f>
        <v>0</v>
      </c>
      <c r="R23" s="106">
        <f t="shared" si="0"/>
        <v>196</v>
      </c>
      <c r="S23" s="151">
        <f t="shared" si="1"/>
        <v>16.333333333333332</v>
      </c>
      <c r="T23" s="107">
        <f t="shared" si="2"/>
        <v>99.59349593495935</v>
      </c>
    </row>
    <row r="24" spans="1:20" s="120" customFormat="1" ht="12.75" customHeight="1">
      <c r="A24" s="105">
        <v>20</v>
      </c>
      <c r="B24" s="347" t="s">
        <v>183</v>
      </c>
      <c r="C24" s="348">
        <v>77</v>
      </c>
      <c r="D24" s="104">
        <v>65.5</v>
      </c>
      <c r="E24" s="151">
        <f t="shared" si="3"/>
        <v>50.435</v>
      </c>
      <c r="F24" s="106">
        <f>Меню!L28</f>
        <v>148</v>
      </c>
      <c r="G24" s="106">
        <f>Меню!L128</f>
        <v>125</v>
      </c>
      <c r="H24" s="106">
        <f>Меню!L228</f>
        <v>60</v>
      </c>
      <c r="I24" s="106">
        <f>Меню!L322</f>
        <v>0</v>
      </c>
      <c r="J24" s="106">
        <f>Меню!L461</f>
        <v>0</v>
      </c>
      <c r="K24" s="106">
        <f>Меню!L567</f>
        <v>0</v>
      </c>
      <c r="L24" s="106">
        <f>Меню!L645</f>
        <v>0</v>
      </c>
      <c r="M24" s="106">
        <f>Меню!L770</f>
        <v>98</v>
      </c>
      <c r="N24" s="106">
        <f>Меню!L867</f>
        <v>30</v>
      </c>
      <c r="O24" s="106">
        <f>Меню!L990</f>
        <v>143</v>
      </c>
      <c r="P24" s="106">
        <f>Меню!L1048</f>
        <v>0</v>
      </c>
      <c r="Q24" s="106">
        <f>Меню!L1152</f>
        <v>0</v>
      </c>
      <c r="R24" s="106">
        <f t="shared" si="0"/>
        <v>604</v>
      </c>
      <c r="S24" s="151">
        <f t="shared" si="1"/>
        <v>50.333333333333336</v>
      </c>
      <c r="T24" s="107">
        <f t="shared" si="2"/>
        <v>99.79842040910744</v>
      </c>
    </row>
    <row r="25" spans="1:20" s="120" customFormat="1" ht="12.75" customHeight="1">
      <c r="A25" s="105">
        <v>21</v>
      </c>
      <c r="B25" s="352" t="s">
        <v>184</v>
      </c>
      <c r="C25" s="349">
        <v>350</v>
      </c>
      <c r="D25" s="104">
        <v>28.5</v>
      </c>
      <c r="E25" s="151">
        <f t="shared" si="3"/>
        <v>99.75</v>
      </c>
      <c r="F25" s="106">
        <f>Меню!L29</f>
        <v>97</v>
      </c>
      <c r="G25" s="106">
        <f>Меню!L129</f>
        <v>28</v>
      </c>
      <c r="H25" s="106">
        <f>Меню!L229</f>
        <v>30</v>
      </c>
      <c r="I25" s="106">
        <f>Меню!L323</f>
        <v>27</v>
      </c>
      <c r="J25" s="106">
        <f>Меню!L462</f>
        <v>15</v>
      </c>
      <c r="K25" s="106">
        <f>Меню!L568</f>
        <v>359</v>
      </c>
      <c r="L25" s="106">
        <f>Меню!L646</f>
        <v>60</v>
      </c>
      <c r="M25" s="106">
        <f>Меню!L771</f>
        <v>47</v>
      </c>
      <c r="N25" s="106">
        <f>Меню!L868</f>
        <v>70</v>
      </c>
      <c r="O25" s="106">
        <f>Меню!L991</f>
        <v>153</v>
      </c>
      <c r="P25" s="106">
        <f>Меню!L1049</f>
        <v>175.6</v>
      </c>
      <c r="Q25" s="106">
        <f>Меню!L1153</f>
        <v>130</v>
      </c>
      <c r="R25" s="106">
        <f t="shared" si="0"/>
        <v>1191.6</v>
      </c>
      <c r="S25" s="151">
        <f t="shared" si="1"/>
        <v>99.3</v>
      </c>
      <c r="T25" s="107">
        <f t="shared" si="2"/>
        <v>99.54887218045113</v>
      </c>
    </row>
    <row r="26" spans="1:20" s="351" customFormat="1" ht="12.75" customHeight="1">
      <c r="A26" s="105">
        <v>22</v>
      </c>
      <c r="B26" s="352" t="s">
        <v>185</v>
      </c>
      <c r="C26" s="353">
        <v>180</v>
      </c>
      <c r="D26" s="104">
        <v>11.6</v>
      </c>
      <c r="E26" s="354">
        <f t="shared" si="3"/>
        <v>20.88</v>
      </c>
      <c r="F26" s="106">
        <f>Меню!L30</f>
        <v>125</v>
      </c>
      <c r="G26" s="106">
        <f>Меню!L130</f>
        <v>0</v>
      </c>
      <c r="H26" s="106">
        <f>Меню!L230</f>
        <v>0</v>
      </c>
      <c r="I26" s="106">
        <f>Меню!L324</f>
        <v>0</v>
      </c>
      <c r="J26" s="106">
        <f>Меню!L463</f>
        <v>0</v>
      </c>
      <c r="K26" s="106">
        <f>Меню!L569</f>
        <v>0</v>
      </c>
      <c r="L26" s="106">
        <f>Меню!L647</f>
        <v>0</v>
      </c>
      <c r="M26" s="106">
        <f>Меню!L772</f>
        <v>0</v>
      </c>
      <c r="N26" s="106">
        <f>Меню!L869</f>
        <v>0</v>
      </c>
      <c r="O26" s="106">
        <f>Меню!L992</f>
        <v>125</v>
      </c>
      <c r="P26" s="106">
        <f>Меню!L1050</f>
        <v>0</v>
      </c>
      <c r="Q26" s="106">
        <f>Меню!L1154</f>
        <v>0</v>
      </c>
      <c r="R26" s="106">
        <f t="shared" si="0"/>
        <v>250</v>
      </c>
      <c r="S26" s="151">
        <f t="shared" si="1"/>
        <v>20.833333333333332</v>
      </c>
      <c r="T26" s="107">
        <f t="shared" si="2"/>
        <v>99.7765006385696</v>
      </c>
    </row>
    <row r="27" spans="1:20" s="120" customFormat="1" ht="12.75" customHeight="1">
      <c r="A27" s="105">
        <v>23</v>
      </c>
      <c r="B27" s="347" t="s">
        <v>186</v>
      </c>
      <c r="C27" s="348">
        <v>60</v>
      </c>
      <c r="D27" s="104">
        <v>44.5</v>
      </c>
      <c r="E27" s="151">
        <f t="shared" si="3"/>
        <v>26.7</v>
      </c>
      <c r="F27" s="106">
        <f>Меню!L31</f>
        <v>0</v>
      </c>
      <c r="G27" s="106">
        <f>Меню!L131</f>
        <v>0</v>
      </c>
      <c r="H27" s="106">
        <f>Меню!L231</f>
        <v>159.95454545454547</v>
      </c>
      <c r="I27" s="106">
        <f>Меню!L325</f>
        <v>0</v>
      </c>
      <c r="J27" s="106">
        <f>Меню!L464</f>
        <v>0</v>
      </c>
      <c r="K27" s="106">
        <f>Меню!L570</f>
        <v>0</v>
      </c>
      <c r="L27" s="106">
        <f>Меню!L648</f>
        <v>0</v>
      </c>
      <c r="M27" s="106">
        <f>Меню!L773</f>
        <v>0</v>
      </c>
      <c r="N27" s="106">
        <f>Меню!L870</f>
        <v>0</v>
      </c>
      <c r="O27" s="106">
        <f>Меню!L993</f>
        <v>160</v>
      </c>
      <c r="P27" s="106">
        <f>Меню!L1051</f>
        <v>0</v>
      </c>
      <c r="Q27" s="106">
        <f>Меню!L1155</f>
        <v>0</v>
      </c>
      <c r="R27" s="106">
        <f t="shared" si="0"/>
        <v>319.9545454545455</v>
      </c>
      <c r="S27" s="151">
        <f t="shared" si="1"/>
        <v>26.662878787878793</v>
      </c>
      <c r="T27" s="107">
        <f t="shared" si="2"/>
        <v>99.86096924299174</v>
      </c>
    </row>
    <row r="28" spans="1:20" s="120" customFormat="1" ht="12.75" customHeight="1">
      <c r="A28" s="105">
        <v>24</v>
      </c>
      <c r="B28" s="347" t="s">
        <v>187</v>
      </c>
      <c r="C28" s="348">
        <v>10</v>
      </c>
      <c r="D28" s="104">
        <v>92</v>
      </c>
      <c r="E28" s="151">
        <f t="shared" si="3"/>
        <v>9.2</v>
      </c>
      <c r="F28" s="106">
        <f>Меню!L32</f>
        <v>5</v>
      </c>
      <c r="G28" s="106">
        <f>Меню!L132</f>
        <v>17.5</v>
      </c>
      <c r="H28" s="106">
        <f>Меню!L232</f>
        <v>6</v>
      </c>
      <c r="I28" s="106">
        <f>Меню!L326</f>
        <v>15</v>
      </c>
      <c r="J28" s="106">
        <f>Меню!L465</f>
        <v>0</v>
      </c>
      <c r="K28" s="106">
        <f>Меню!L571</f>
        <v>5</v>
      </c>
      <c r="L28" s="106">
        <f>Меню!L649</f>
        <v>15</v>
      </c>
      <c r="M28" s="106">
        <f>Меню!L774</f>
        <v>0</v>
      </c>
      <c r="N28" s="106">
        <f>Меню!L871</f>
        <v>5</v>
      </c>
      <c r="O28" s="106">
        <f>Меню!L994</f>
        <v>15</v>
      </c>
      <c r="P28" s="106">
        <f>Меню!L1052</f>
        <v>21.5</v>
      </c>
      <c r="Q28" s="106">
        <f>Меню!L1156</f>
        <v>5</v>
      </c>
      <c r="R28" s="106">
        <f t="shared" si="0"/>
        <v>110</v>
      </c>
      <c r="S28" s="151">
        <f t="shared" si="1"/>
        <v>9.166666666666666</v>
      </c>
      <c r="T28" s="107">
        <f t="shared" si="2"/>
        <v>99.6376811594203</v>
      </c>
    </row>
    <row r="29" spans="1:20" s="120" customFormat="1" ht="12.75" customHeight="1">
      <c r="A29" s="105">
        <v>25</v>
      </c>
      <c r="B29" s="347" t="s">
        <v>188</v>
      </c>
      <c r="C29" s="348">
        <v>15</v>
      </c>
      <c r="D29" s="104">
        <v>63</v>
      </c>
      <c r="E29" s="151">
        <f t="shared" si="3"/>
        <v>9.45</v>
      </c>
      <c r="F29" s="106">
        <f>Меню!L33</f>
        <v>0</v>
      </c>
      <c r="G29" s="106">
        <f>Меню!L133</f>
        <v>15</v>
      </c>
      <c r="H29" s="106">
        <f>Меню!L233</f>
        <v>20</v>
      </c>
      <c r="I29" s="106">
        <f>Меню!L327</f>
        <v>0</v>
      </c>
      <c r="J29" s="106">
        <f>Меню!L466</f>
        <v>5</v>
      </c>
      <c r="K29" s="106">
        <f>Меню!L572</f>
        <v>20</v>
      </c>
      <c r="L29" s="106">
        <f>Меню!L650</f>
        <v>20</v>
      </c>
      <c r="M29" s="106">
        <f>Меню!L775</f>
        <v>0</v>
      </c>
      <c r="N29" s="106">
        <f>Меню!L872</f>
        <v>0</v>
      </c>
      <c r="O29" s="106">
        <f>Меню!L995</f>
        <v>0</v>
      </c>
      <c r="P29" s="106">
        <f>Меню!L1053</f>
        <v>18</v>
      </c>
      <c r="Q29" s="106">
        <f>Меню!L1157</f>
        <v>15</v>
      </c>
      <c r="R29" s="106">
        <f t="shared" si="0"/>
        <v>113</v>
      </c>
      <c r="S29" s="151">
        <f t="shared" si="1"/>
        <v>9.416666666666666</v>
      </c>
      <c r="T29" s="107">
        <f t="shared" si="2"/>
        <v>99.64726631393299</v>
      </c>
    </row>
    <row r="30" spans="1:20" s="120" customFormat="1" ht="12.75" customHeight="1">
      <c r="A30" s="105">
        <v>26</v>
      </c>
      <c r="B30" s="352" t="s">
        <v>33</v>
      </c>
      <c r="C30" s="348">
        <v>35</v>
      </c>
      <c r="D30" s="104">
        <v>63</v>
      </c>
      <c r="E30" s="151">
        <f t="shared" si="3"/>
        <v>22.05</v>
      </c>
      <c r="F30" s="106">
        <f>Меню!L34</f>
        <v>16</v>
      </c>
      <c r="G30" s="106">
        <f>Меню!L134</f>
        <v>21</v>
      </c>
      <c r="H30" s="106">
        <f>Меню!L234</f>
        <v>9.636363636363637</v>
      </c>
      <c r="I30" s="106">
        <f>Меню!L328</f>
        <v>31</v>
      </c>
      <c r="J30" s="106">
        <f>Меню!L467</f>
        <v>17</v>
      </c>
      <c r="K30" s="106">
        <f>Меню!L573</f>
        <v>20</v>
      </c>
      <c r="L30" s="106">
        <f>Меню!L651</f>
        <v>16</v>
      </c>
      <c r="M30" s="106">
        <f>Меню!L776</f>
        <v>15</v>
      </c>
      <c r="N30" s="106">
        <f>Меню!L873</f>
        <v>10</v>
      </c>
      <c r="O30" s="106">
        <f>Меню!L996</f>
        <v>35</v>
      </c>
      <c r="P30" s="106">
        <f>Меню!L1054</f>
        <v>44.3</v>
      </c>
      <c r="Q30" s="106">
        <f>Меню!L1158</f>
        <v>30</v>
      </c>
      <c r="R30" s="106">
        <f t="shared" si="0"/>
        <v>264.93636363636364</v>
      </c>
      <c r="S30" s="151">
        <f t="shared" si="1"/>
        <v>22.078030303030303</v>
      </c>
      <c r="T30" s="107">
        <f t="shared" si="2"/>
        <v>100.127121555693</v>
      </c>
    </row>
    <row r="31" spans="1:20" s="120" customFormat="1" ht="12.75" customHeight="1">
      <c r="A31" s="105">
        <v>27</v>
      </c>
      <c r="B31" s="105" t="s">
        <v>34</v>
      </c>
      <c r="C31" s="348">
        <v>18</v>
      </c>
      <c r="D31" s="104">
        <v>70</v>
      </c>
      <c r="E31" s="151">
        <f t="shared" si="3"/>
        <v>12.6</v>
      </c>
      <c r="F31" s="106">
        <f>Меню!L35</f>
        <v>8</v>
      </c>
      <c r="G31" s="106">
        <f>Меню!L135</f>
        <v>16</v>
      </c>
      <c r="H31" s="106">
        <f>Меню!L235</f>
        <v>13</v>
      </c>
      <c r="I31" s="106">
        <f>Меню!L329</f>
        <v>12</v>
      </c>
      <c r="J31" s="106">
        <f>Меню!L468</f>
        <v>12.5</v>
      </c>
      <c r="K31" s="106">
        <f>Меню!L574</f>
        <v>2</v>
      </c>
      <c r="L31" s="106">
        <f>Меню!L652</f>
        <v>14.5</v>
      </c>
      <c r="M31" s="106">
        <f>Меню!L777</f>
        <v>11</v>
      </c>
      <c r="N31" s="106">
        <f>Меню!L874</f>
        <v>22</v>
      </c>
      <c r="O31" s="106">
        <f>Меню!L997</f>
        <v>11</v>
      </c>
      <c r="P31" s="106">
        <f>Меню!L1055</f>
        <v>10.5</v>
      </c>
      <c r="Q31" s="106">
        <f>Меню!L1159</f>
        <v>18</v>
      </c>
      <c r="R31" s="106">
        <f t="shared" si="0"/>
        <v>150.5</v>
      </c>
      <c r="S31" s="151">
        <f t="shared" si="1"/>
        <v>12.541666666666666</v>
      </c>
      <c r="T31" s="107">
        <f t="shared" si="2"/>
        <v>99.53703703703702</v>
      </c>
    </row>
    <row r="32" spans="1:20" s="355" customFormat="1" ht="12.75" customHeight="1">
      <c r="A32" s="105">
        <v>28</v>
      </c>
      <c r="B32" s="105" t="s">
        <v>189</v>
      </c>
      <c r="C32" s="348">
        <v>40</v>
      </c>
      <c r="D32" s="104">
        <v>85</v>
      </c>
      <c r="E32" s="151">
        <f t="shared" si="3"/>
        <v>34</v>
      </c>
      <c r="F32" s="106">
        <f>Меню!L36</f>
        <v>125</v>
      </c>
      <c r="G32" s="106">
        <f>Меню!L136</f>
        <v>38.2</v>
      </c>
      <c r="H32" s="106">
        <f>Меню!L236</f>
        <v>6</v>
      </c>
      <c r="I32" s="106">
        <f>Меню!L330</f>
        <v>13</v>
      </c>
      <c r="J32" s="106">
        <f>Меню!L469</f>
        <v>5</v>
      </c>
      <c r="K32" s="106">
        <f>Меню!L575</f>
        <v>5.2</v>
      </c>
      <c r="L32" s="106">
        <f>Меню!L653</f>
        <v>14.2</v>
      </c>
      <c r="M32" s="106">
        <f>Меню!L778</f>
        <v>128</v>
      </c>
      <c r="N32" s="106">
        <f>Меню!L875</f>
        <v>7</v>
      </c>
      <c r="O32" s="106">
        <f>Меню!L998</f>
        <v>10</v>
      </c>
      <c r="P32" s="106">
        <f>Меню!L1056</f>
        <v>14.5</v>
      </c>
      <c r="Q32" s="106">
        <f>Меню!L1160</f>
        <v>41.2</v>
      </c>
      <c r="R32" s="106">
        <f>SUM(F32:Q32)</f>
        <v>407.29999999999995</v>
      </c>
      <c r="S32" s="151">
        <f>R32/12</f>
        <v>33.94166666666666</v>
      </c>
      <c r="T32" s="107">
        <f t="shared" si="2"/>
        <v>99.828431372549</v>
      </c>
    </row>
    <row r="33" spans="1:20" s="355" customFormat="1" ht="12.75" customHeight="1">
      <c r="A33" s="105">
        <v>29</v>
      </c>
      <c r="B33" s="105" t="s">
        <v>369</v>
      </c>
      <c r="C33" s="348">
        <v>4</v>
      </c>
      <c r="D33" s="104">
        <v>25</v>
      </c>
      <c r="E33" s="151">
        <f>C33*D33/100</f>
        <v>1</v>
      </c>
      <c r="F33" s="106">
        <f>Меню!L37</f>
        <v>0</v>
      </c>
      <c r="G33" s="106">
        <f>Меню!L137</f>
        <v>0</v>
      </c>
      <c r="H33" s="106">
        <f>Меню!L237</f>
        <v>6</v>
      </c>
      <c r="I33" s="106">
        <f>Меню!L331</f>
        <v>0</v>
      </c>
      <c r="J33" s="106">
        <f>Меню!L470</f>
        <v>0</v>
      </c>
      <c r="K33" s="106">
        <f>Меню!L576</f>
        <v>0</v>
      </c>
      <c r="L33" s="106">
        <f>Меню!L654</f>
        <v>0</v>
      </c>
      <c r="M33" s="106">
        <f>Меню!L779</f>
        <v>0</v>
      </c>
      <c r="N33" s="106">
        <f>Меню!L876</f>
        <v>0</v>
      </c>
      <c r="O33" s="106">
        <f>Меню!L999</f>
        <v>6</v>
      </c>
      <c r="P33" s="106">
        <f>Меню!L1057</f>
        <v>0</v>
      </c>
      <c r="Q33" s="106">
        <f>Меню!L1161</f>
        <v>0</v>
      </c>
      <c r="R33" s="106">
        <f>SUM(F33:Q33)</f>
        <v>12</v>
      </c>
      <c r="S33" s="151">
        <f>R33/12</f>
        <v>1</v>
      </c>
      <c r="T33" s="107">
        <f t="shared" si="2"/>
        <v>100</v>
      </c>
    </row>
    <row r="34" spans="1:20" s="355" customFormat="1" ht="12.75" customHeight="1">
      <c r="A34" s="105">
        <v>30</v>
      </c>
      <c r="B34" s="105" t="s">
        <v>190</v>
      </c>
      <c r="C34" s="348">
        <v>2</v>
      </c>
      <c r="D34" s="104">
        <v>60</v>
      </c>
      <c r="E34" s="151">
        <f t="shared" si="3"/>
        <v>1.2</v>
      </c>
      <c r="F34" s="106">
        <f>Меню!L38</f>
        <v>1.2</v>
      </c>
      <c r="G34" s="106">
        <f>Меню!L138</f>
        <v>1.2</v>
      </c>
      <c r="H34" s="106">
        <f>Меню!L238</f>
        <v>1.2</v>
      </c>
      <c r="I34" s="106">
        <f>Меню!L332</f>
        <v>1.2</v>
      </c>
      <c r="J34" s="106">
        <f>Меню!L471</f>
        <v>1.2</v>
      </c>
      <c r="K34" s="106">
        <f>Меню!L577</f>
        <v>1.2</v>
      </c>
      <c r="L34" s="106">
        <f>Меню!L655</f>
        <v>1.2</v>
      </c>
      <c r="M34" s="106">
        <f>Меню!L780</f>
        <v>1.2</v>
      </c>
      <c r="N34" s="106">
        <f>Меню!L877</f>
        <v>1.2</v>
      </c>
      <c r="O34" s="106">
        <f>Меню!L1000</f>
        <v>1.2</v>
      </c>
      <c r="P34" s="106">
        <f>Меню!L1058</f>
        <v>1.2</v>
      </c>
      <c r="Q34" s="106">
        <f>Меню!L1162</f>
        <v>1.2</v>
      </c>
      <c r="R34" s="106">
        <f t="shared" si="0"/>
        <v>14.399999999999997</v>
      </c>
      <c r="S34" s="151">
        <f t="shared" si="1"/>
        <v>1.1999999999999997</v>
      </c>
      <c r="T34" s="107">
        <f t="shared" si="2"/>
        <v>99.99999999999999</v>
      </c>
    </row>
    <row r="35" spans="1:20" s="120" customFormat="1" ht="12.75" customHeight="1">
      <c r="A35" s="105">
        <v>31</v>
      </c>
      <c r="B35" s="347" t="s">
        <v>191</v>
      </c>
      <c r="C35" s="348">
        <v>5</v>
      </c>
      <c r="D35" s="104">
        <v>60</v>
      </c>
      <c r="E35" s="151">
        <f t="shared" si="3"/>
        <v>3</v>
      </c>
      <c r="F35" s="106">
        <f>Меню!L39</f>
        <v>3</v>
      </c>
      <c r="G35" s="106">
        <f>Меню!L139</f>
        <v>3</v>
      </c>
      <c r="H35" s="106">
        <f>Меню!L239</f>
        <v>3</v>
      </c>
      <c r="I35" s="106">
        <f>Меню!L333</f>
        <v>3</v>
      </c>
      <c r="J35" s="106">
        <f>Меню!L472</f>
        <v>3</v>
      </c>
      <c r="K35" s="106">
        <f>Меню!L578</f>
        <v>3</v>
      </c>
      <c r="L35" s="106">
        <f>Меню!L656</f>
        <v>3</v>
      </c>
      <c r="M35" s="106">
        <f>Меню!L781</f>
        <v>3</v>
      </c>
      <c r="N35" s="106">
        <f>Меню!L878</f>
        <v>3</v>
      </c>
      <c r="O35" s="106">
        <f>Меню!L1001</f>
        <v>3</v>
      </c>
      <c r="P35" s="106">
        <f>Меню!L1059</f>
        <v>3</v>
      </c>
      <c r="Q35" s="106">
        <f>Меню!L1163</f>
        <v>3</v>
      </c>
      <c r="R35" s="106">
        <f t="shared" si="0"/>
        <v>36</v>
      </c>
      <c r="S35" s="151">
        <f t="shared" si="1"/>
        <v>3</v>
      </c>
      <c r="T35" s="107">
        <f>S35*100/E35</f>
        <v>100</v>
      </c>
    </row>
    <row r="36" spans="1:28" s="120" customFormat="1" ht="21.75" customHeight="1">
      <c r="A36" s="574" t="s">
        <v>220</v>
      </c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356"/>
      <c r="V36" s="356"/>
      <c r="W36" s="356"/>
      <c r="X36" s="356"/>
      <c r="Y36" s="356"/>
      <c r="Z36" s="356"/>
      <c r="AA36" s="356"/>
      <c r="AB36" s="356"/>
    </row>
    <row r="37" spans="1:28" s="59" customFormat="1" ht="13.5" customHeight="1">
      <c r="A37" s="569" t="s">
        <v>221</v>
      </c>
      <c r="B37" s="569"/>
      <c r="C37" s="569"/>
      <c r="D37" s="569"/>
      <c r="E37" s="569"/>
      <c r="F37" s="569"/>
      <c r="G37" s="569"/>
      <c r="H37" s="569"/>
      <c r="I37" s="569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8"/>
      <c r="AA37" s="258"/>
      <c r="AB37" s="258"/>
    </row>
  </sheetData>
  <sheetProtection password="CF52" sheet="1"/>
  <mergeCells count="13">
    <mergeCell ref="F2:Q2"/>
    <mergeCell ref="F3:Q3"/>
    <mergeCell ref="R2:R4"/>
    <mergeCell ref="A37:I37"/>
    <mergeCell ref="A1:T1"/>
    <mergeCell ref="S2:S4"/>
    <mergeCell ref="T2:T4"/>
    <mergeCell ref="A2:A4"/>
    <mergeCell ref="B2:B4"/>
    <mergeCell ref="C2:C4"/>
    <mergeCell ref="D2:D4"/>
    <mergeCell ref="E2:E4"/>
    <mergeCell ref="A36:T36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6">
      <selection activeCell="A1" sqref="A1:G23"/>
    </sheetView>
  </sheetViews>
  <sheetFormatPr defaultColWidth="9.140625" defaultRowHeight="12.75"/>
  <cols>
    <col min="1" max="1" width="35.7109375" style="108" customWidth="1"/>
    <col min="2" max="3" width="17.7109375" style="108" customWidth="1"/>
    <col min="4" max="7" width="17.7109375" style="12" customWidth="1"/>
    <col min="8" max="9" width="9.140625" style="12" customWidth="1"/>
  </cols>
  <sheetData>
    <row r="1" spans="1:8" ht="24" customHeight="1" thickBot="1">
      <c r="A1" s="577" t="s">
        <v>202</v>
      </c>
      <c r="B1" s="577"/>
      <c r="C1" s="577"/>
      <c r="D1" s="577"/>
      <c r="E1" s="577"/>
      <c r="F1" s="577"/>
      <c r="G1" s="577"/>
      <c r="H1" s="170"/>
    </row>
    <row r="2" spans="1:7" ht="12.75">
      <c r="A2" s="586" t="s">
        <v>192</v>
      </c>
      <c r="B2" s="582" t="s">
        <v>113</v>
      </c>
      <c r="C2" s="584" t="s">
        <v>37</v>
      </c>
      <c r="D2" s="582" t="s">
        <v>70</v>
      </c>
      <c r="E2" s="584" t="s">
        <v>37</v>
      </c>
      <c r="F2" s="588" t="s">
        <v>193</v>
      </c>
      <c r="G2" s="578" t="s">
        <v>37</v>
      </c>
    </row>
    <row r="3" spans="1:8" ht="19.5" customHeight="1">
      <c r="A3" s="587"/>
      <c r="B3" s="583"/>
      <c r="C3" s="585"/>
      <c r="D3" s="583"/>
      <c r="E3" s="585"/>
      <c r="F3" s="589"/>
      <c r="G3" s="579"/>
      <c r="H3" s="78"/>
    </row>
    <row r="4" spans="1:8" ht="37.5" customHeight="1">
      <c r="A4" s="587"/>
      <c r="B4" s="253" t="s">
        <v>194</v>
      </c>
      <c r="C4" s="585"/>
      <c r="D4" s="253" t="s">
        <v>195</v>
      </c>
      <c r="E4" s="585"/>
      <c r="F4" s="253" t="s">
        <v>196</v>
      </c>
      <c r="G4" s="579"/>
      <c r="H4" s="78"/>
    </row>
    <row r="5" spans="1:7" ht="24" customHeight="1">
      <c r="A5" s="587"/>
      <c r="B5" s="254" t="s">
        <v>197</v>
      </c>
      <c r="C5" s="585"/>
      <c r="D5" s="171" t="s">
        <v>142</v>
      </c>
      <c r="E5" s="585"/>
      <c r="F5" s="255" t="s">
        <v>198</v>
      </c>
      <c r="G5" s="579"/>
    </row>
    <row r="6" spans="1:7" s="59" customFormat="1" ht="21.75" customHeight="1">
      <c r="A6" s="312" t="s">
        <v>43</v>
      </c>
      <c r="B6" s="228">
        <f>Меню!H8</f>
        <v>666.6</v>
      </c>
      <c r="C6" s="228">
        <f aca="true" t="shared" si="0" ref="C6:C11">B6*100/2720</f>
        <v>24.50735294117647</v>
      </c>
      <c r="D6" s="228">
        <f>Меню!H42</f>
        <v>924.4200000000001</v>
      </c>
      <c r="E6" s="228">
        <f aca="true" t="shared" si="1" ref="E6:E11">D6*100/2720</f>
        <v>33.986029411764704</v>
      </c>
      <c r="F6" s="228">
        <f>Меню!H103</f>
        <v>1591.02</v>
      </c>
      <c r="G6" s="256">
        <f aca="true" t="shared" si="2" ref="G6:G11">F6*100/2713</f>
        <v>58.644305197198676</v>
      </c>
    </row>
    <row r="7" spans="1:7" s="59" customFormat="1" ht="21.75" customHeight="1">
      <c r="A7" s="312" t="s">
        <v>44</v>
      </c>
      <c r="B7" s="228">
        <f>Меню!H107</f>
        <v>613.7</v>
      </c>
      <c r="C7" s="228">
        <f t="shared" si="0"/>
        <v>22.562500000000004</v>
      </c>
      <c r="D7" s="228">
        <f>Меню!H140</f>
        <v>924.1866666666667</v>
      </c>
      <c r="E7" s="228">
        <f t="shared" si="1"/>
        <v>33.977450980392156</v>
      </c>
      <c r="F7" s="228">
        <f>Меню!H203</f>
        <v>1537.8866666666668</v>
      </c>
      <c r="G7" s="256">
        <f t="shared" si="2"/>
        <v>56.685833640496384</v>
      </c>
    </row>
    <row r="8" spans="1:7" s="59" customFormat="1" ht="21.75" customHeight="1">
      <c r="A8" s="312" t="s">
        <v>45</v>
      </c>
      <c r="B8" s="228">
        <f>Меню!H207</f>
        <v>612.3000000000001</v>
      </c>
      <c r="C8" s="228">
        <f t="shared" si="0"/>
        <v>22.51102941176471</v>
      </c>
      <c r="D8" s="228">
        <f>Меню!H239</f>
        <v>813.9800000000001</v>
      </c>
      <c r="E8" s="228">
        <f t="shared" si="1"/>
        <v>29.92573529411765</v>
      </c>
      <c r="F8" s="228">
        <f>Меню!H296</f>
        <v>1426.2800000000002</v>
      </c>
      <c r="G8" s="256">
        <f t="shared" si="2"/>
        <v>52.5720604496867</v>
      </c>
    </row>
    <row r="9" spans="1:7" s="59" customFormat="1" ht="21.75" customHeight="1">
      <c r="A9" s="312" t="s">
        <v>46</v>
      </c>
      <c r="B9" s="228">
        <f>Меню!H300</f>
        <v>669.86</v>
      </c>
      <c r="C9" s="228">
        <f t="shared" si="0"/>
        <v>24.627205882352943</v>
      </c>
      <c r="D9" s="228">
        <f>Меню!H367</f>
        <v>936.18</v>
      </c>
      <c r="E9" s="228">
        <f t="shared" si="1"/>
        <v>34.41838235294118</v>
      </c>
      <c r="F9" s="228">
        <f>Меню!H417</f>
        <v>1606.04</v>
      </c>
      <c r="G9" s="256">
        <f t="shared" si="2"/>
        <v>59.1979358643568</v>
      </c>
    </row>
    <row r="10" spans="1:7" s="59" customFormat="1" ht="21.75" customHeight="1">
      <c r="A10" s="312" t="s">
        <v>47</v>
      </c>
      <c r="B10" s="228">
        <f>Меню!H421</f>
        <v>549.85</v>
      </c>
      <c r="C10" s="228">
        <f t="shared" si="0"/>
        <v>20.215073529411764</v>
      </c>
      <c r="D10" s="228">
        <f>Меню!H442</f>
        <v>932.1200000000001</v>
      </c>
      <c r="E10" s="228">
        <f t="shared" si="1"/>
        <v>34.26911764705883</v>
      </c>
      <c r="F10" s="228">
        <f>Меню!H508</f>
        <v>1481.9700000000003</v>
      </c>
      <c r="G10" s="256">
        <f t="shared" si="2"/>
        <v>54.6247696277184</v>
      </c>
    </row>
    <row r="11" spans="1:7" s="59" customFormat="1" ht="21.75" customHeight="1">
      <c r="A11" s="312" t="s">
        <v>48</v>
      </c>
      <c r="B11" s="228">
        <f>Меню!H512</f>
        <v>623.4000000000001</v>
      </c>
      <c r="C11" s="228">
        <f t="shared" si="0"/>
        <v>22.919117647058826</v>
      </c>
      <c r="D11" s="228">
        <f>Меню!H538</f>
        <v>921.9200000000001</v>
      </c>
      <c r="E11" s="228">
        <f t="shared" si="1"/>
        <v>33.89411764705882</v>
      </c>
      <c r="F11" s="228">
        <f>Меню!H589</f>
        <v>1545.3200000000002</v>
      </c>
      <c r="G11" s="256">
        <f t="shared" si="2"/>
        <v>56.95982307408774</v>
      </c>
    </row>
    <row r="12" spans="1:7" s="59" customFormat="1" ht="21.75" customHeight="1">
      <c r="A12" s="412" t="s">
        <v>199</v>
      </c>
      <c r="B12" s="229">
        <f aca="true" t="shared" si="3" ref="B12:G12">SUM(B6:B11)/6</f>
        <v>622.6183333333335</v>
      </c>
      <c r="C12" s="229">
        <f t="shared" si="3"/>
        <v>22.890379901960785</v>
      </c>
      <c r="D12" s="229">
        <f t="shared" si="3"/>
        <v>908.8011111111113</v>
      </c>
      <c r="E12" s="229">
        <f t="shared" si="3"/>
        <v>33.41180555555556</v>
      </c>
      <c r="F12" s="229">
        <f t="shared" si="3"/>
        <v>1531.4194444444445</v>
      </c>
      <c r="G12" s="431">
        <f t="shared" si="3"/>
        <v>56.44745464225745</v>
      </c>
    </row>
    <row r="13" spans="1:7" s="59" customFormat="1" ht="21.75" customHeight="1">
      <c r="A13" s="312" t="s">
        <v>49</v>
      </c>
      <c r="B13" s="228">
        <f>Меню!H596</f>
        <v>623.9000000000001</v>
      </c>
      <c r="C13" s="228">
        <f aca="true" t="shared" si="4" ref="C13:C18">B13*100/2720</f>
        <v>22.937500000000004</v>
      </c>
      <c r="D13" s="228">
        <f>Меню!H651</f>
        <v>945.8</v>
      </c>
      <c r="E13" s="228">
        <f aca="true" t="shared" si="5" ref="E13:E18">D13*100/2720</f>
        <v>34.77205882352941</v>
      </c>
      <c r="F13" s="228">
        <f>Меню!H733</f>
        <v>1569.7</v>
      </c>
      <c r="G13" s="256">
        <f aca="true" t="shared" si="6" ref="G13:G18">F13*100/2713</f>
        <v>57.85845927018061</v>
      </c>
    </row>
    <row r="14" spans="1:7" s="59" customFormat="1" ht="21.75" customHeight="1">
      <c r="A14" s="312" t="s">
        <v>50</v>
      </c>
      <c r="B14" s="228">
        <f>Меню!H737</f>
        <v>615.7</v>
      </c>
      <c r="C14" s="228">
        <f t="shared" si="4"/>
        <v>22.63602941176471</v>
      </c>
      <c r="D14" s="228">
        <f>Меню!H764</f>
        <v>897.12</v>
      </c>
      <c r="E14" s="228">
        <f t="shared" si="5"/>
        <v>32.98235294117647</v>
      </c>
      <c r="F14" s="228">
        <f>Меню!H822</f>
        <v>1512.8200000000002</v>
      </c>
      <c r="G14" s="256">
        <f t="shared" si="6"/>
        <v>55.761887209730936</v>
      </c>
    </row>
    <row r="15" spans="1:7" s="59" customFormat="1" ht="21.75" customHeight="1">
      <c r="A15" s="312" t="s">
        <v>51</v>
      </c>
      <c r="B15" s="228">
        <f>Меню!H826</f>
        <v>623.1999999999999</v>
      </c>
      <c r="C15" s="228">
        <f t="shared" si="4"/>
        <v>22.91176470588235</v>
      </c>
      <c r="D15" s="228">
        <f>Меню!H854</f>
        <v>895</v>
      </c>
      <c r="E15" s="228">
        <f t="shared" si="5"/>
        <v>32.904411764705884</v>
      </c>
      <c r="F15" s="228">
        <f>Меню!H935</f>
        <v>1518.1999999999998</v>
      </c>
      <c r="G15" s="256">
        <f t="shared" si="6"/>
        <v>55.960191669738286</v>
      </c>
    </row>
    <row r="16" spans="1:7" s="59" customFormat="1" ht="21.75" customHeight="1">
      <c r="A16" s="312" t="s">
        <v>52</v>
      </c>
      <c r="B16" s="228">
        <f>Меню!H939</f>
        <v>594.3000000000001</v>
      </c>
      <c r="C16" s="228">
        <f t="shared" si="4"/>
        <v>21.849264705882355</v>
      </c>
      <c r="D16" s="228">
        <f>Меню!H956</f>
        <v>909.677142857143</v>
      </c>
      <c r="E16" s="228">
        <f t="shared" si="5"/>
        <v>33.444012605042026</v>
      </c>
      <c r="F16" s="228">
        <f>Меню!H1013</f>
        <v>1503.977142857143</v>
      </c>
      <c r="G16" s="256">
        <f t="shared" si="6"/>
        <v>55.435943341582856</v>
      </c>
    </row>
    <row r="17" spans="1:7" s="59" customFormat="1" ht="21.75" customHeight="1">
      <c r="A17" s="312" t="s">
        <v>53</v>
      </c>
      <c r="B17" s="228">
        <f>Меню!H1017</f>
        <v>570.8</v>
      </c>
      <c r="C17" s="228">
        <f t="shared" si="4"/>
        <v>20.985294117647054</v>
      </c>
      <c r="D17" s="228">
        <f>Меню!H1062</f>
        <v>823.1716666666667</v>
      </c>
      <c r="E17" s="228">
        <f t="shared" si="5"/>
        <v>30.263664215686276</v>
      </c>
      <c r="F17" s="228">
        <f>Меню!H1125</f>
        <v>1393.9716666666668</v>
      </c>
      <c r="G17" s="256">
        <f t="shared" si="6"/>
        <v>51.38118933529918</v>
      </c>
    </row>
    <row r="18" spans="1:7" s="59" customFormat="1" ht="21.75" customHeight="1">
      <c r="A18" s="312" t="s">
        <v>54</v>
      </c>
      <c r="B18" s="228">
        <f>Меню!H1129</f>
        <v>647.1</v>
      </c>
      <c r="C18" s="228">
        <f t="shared" si="4"/>
        <v>23.790441176470587</v>
      </c>
      <c r="D18" s="228">
        <f>Меню!H1152</f>
        <v>847.9900000000001</v>
      </c>
      <c r="E18" s="228">
        <f t="shared" si="5"/>
        <v>31.176102941176477</v>
      </c>
      <c r="F18" s="228">
        <f>Меню!H1213</f>
        <v>1495.0900000000001</v>
      </c>
      <c r="G18" s="256">
        <f t="shared" si="6"/>
        <v>55.10836712126797</v>
      </c>
    </row>
    <row r="19" spans="1:7" s="59" customFormat="1" ht="21.75" customHeight="1">
      <c r="A19" s="412" t="s">
        <v>199</v>
      </c>
      <c r="B19" s="229">
        <f aca="true" t="shared" si="7" ref="B19:G19">SUM(B13:B18)/6</f>
        <v>612.5000000000001</v>
      </c>
      <c r="C19" s="229">
        <f t="shared" si="7"/>
        <v>22.518382352941178</v>
      </c>
      <c r="D19" s="229">
        <f t="shared" si="7"/>
        <v>886.4598015873016</v>
      </c>
      <c r="E19" s="229">
        <f t="shared" si="7"/>
        <v>32.59043388188609</v>
      </c>
      <c r="F19" s="229">
        <f t="shared" si="7"/>
        <v>1498.9598015873016</v>
      </c>
      <c r="G19" s="431">
        <f t="shared" si="7"/>
        <v>55.251006324633316</v>
      </c>
    </row>
    <row r="20" spans="1:7" ht="21.75" customHeight="1" thickBot="1">
      <c r="A20" s="313" t="s">
        <v>175</v>
      </c>
      <c r="B20" s="314">
        <f aca="true" t="shared" si="8" ref="B20:G20">(B19+B12)/2</f>
        <v>617.5591666666668</v>
      </c>
      <c r="C20" s="314">
        <f t="shared" si="8"/>
        <v>22.70438112745098</v>
      </c>
      <c r="D20" s="314">
        <f t="shared" si="8"/>
        <v>897.6304563492065</v>
      </c>
      <c r="E20" s="314">
        <f t="shared" si="8"/>
        <v>33.00111971872083</v>
      </c>
      <c r="F20" s="314">
        <f t="shared" si="8"/>
        <v>1515.1896230158732</v>
      </c>
      <c r="G20" s="315">
        <f t="shared" si="8"/>
        <v>55.84923048344538</v>
      </c>
    </row>
    <row r="21" spans="1:7" ht="20.25" customHeight="1">
      <c r="A21" s="580" t="s">
        <v>200</v>
      </c>
      <c r="B21" s="580"/>
      <c r="C21" s="580"/>
      <c r="D21" s="580"/>
      <c r="E21" s="580"/>
      <c r="F21" s="580"/>
      <c r="G21" s="580"/>
    </row>
    <row r="22" spans="1:7" ht="18" customHeight="1">
      <c r="A22" s="581" t="s">
        <v>201</v>
      </c>
      <c r="B22" s="581"/>
      <c r="C22" s="581"/>
      <c r="D22" s="581"/>
      <c r="E22" s="581"/>
      <c r="F22" s="581"/>
      <c r="G22" s="581"/>
    </row>
  </sheetData>
  <sheetProtection password="CF52" sheet="1"/>
  <mergeCells count="10">
    <mergeCell ref="A1:G1"/>
    <mergeCell ref="G2:G5"/>
    <mergeCell ref="A21:G21"/>
    <mergeCell ref="A22:G22"/>
    <mergeCell ref="D2:D3"/>
    <mergeCell ref="C2:C5"/>
    <mergeCell ref="B2:B3"/>
    <mergeCell ref="A2:A5"/>
    <mergeCell ref="F2:F3"/>
    <mergeCell ref="E2:E5"/>
  </mergeCells>
  <conditionalFormatting sqref="D6:D7 D9:D20">
    <cfRule type="cellIs" priority="6" dxfId="0" operator="lessThan" stopIfTrue="1">
      <formula>814</formula>
    </cfRule>
    <cfRule type="cellIs" priority="7" dxfId="0" operator="greaterThan" stopIfTrue="1">
      <formula>950.49</formula>
    </cfRule>
  </conditionalFormatting>
  <conditionalFormatting sqref="F6:F20">
    <cfRule type="cellIs" priority="4" dxfId="0" operator="lessThan" stopIfTrue="1">
      <formula>1360</formula>
    </cfRule>
    <cfRule type="cellIs" priority="5" dxfId="0" operator="greaterThan" stopIfTrue="1">
      <formula>1632.49</formula>
    </cfRule>
  </conditionalFormatting>
  <conditionalFormatting sqref="B6:B20">
    <cfRule type="cellIs" priority="1" dxfId="0" operator="lessThan" stopIfTrue="1">
      <formula>544</formula>
    </cfRule>
    <cfRule type="cellIs" priority="2" dxfId="0" operator="greaterThan" stopIfTrue="1">
      <formula>680.49</formula>
    </cfRule>
  </conditionalFormatting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A1" sqref="A1:C15"/>
    </sheetView>
  </sheetViews>
  <sheetFormatPr defaultColWidth="9.140625" defaultRowHeight="12.75"/>
  <cols>
    <col min="1" max="1" width="45.7109375" style="0" customWidth="1"/>
    <col min="2" max="3" width="43.7109375" style="0" customWidth="1"/>
  </cols>
  <sheetData>
    <row r="1" spans="1:3" ht="32.25" customHeight="1">
      <c r="A1" s="590" t="s">
        <v>203</v>
      </c>
      <c r="B1" s="590"/>
      <c r="C1" s="590"/>
    </row>
    <row r="2" spans="1:3" ht="26.25" customHeight="1">
      <c r="A2" s="591" t="s">
        <v>204</v>
      </c>
      <c r="B2" s="421" t="s">
        <v>205</v>
      </c>
      <c r="C2" s="421" t="s">
        <v>206</v>
      </c>
    </row>
    <row r="3" spans="1:3" ht="21.75" customHeight="1">
      <c r="A3" s="591"/>
      <c r="B3" s="250" t="s">
        <v>207</v>
      </c>
      <c r="C3" s="250" t="s">
        <v>208</v>
      </c>
    </row>
    <row r="4" spans="1:3" ht="30" customHeight="1">
      <c r="A4" s="422" t="s">
        <v>43</v>
      </c>
      <c r="B4" s="228">
        <f>Меню!D8</f>
        <v>585</v>
      </c>
      <c r="C4" s="228">
        <f>Меню!D42</f>
        <v>1075</v>
      </c>
    </row>
    <row r="5" spans="1:3" ht="30" customHeight="1">
      <c r="A5" s="422" t="s">
        <v>44</v>
      </c>
      <c r="B5" s="228">
        <f>Меню!D107</f>
        <v>720</v>
      </c>
      <c r="C5" s="228">
        <f>Меню!D140</f>
        <v>900</v>
      </c>
    </row>
    <row r="6" spans="1:3" ht="30" customHeight="1">
      <c r="A6" s="422" t="s">
        <v>45</v>
      </c>
      <c r="B6" s="228">
        <f>Меню!D207</f>
        <v>597</v>
      </c>
      <c r="C6" s="228">
        <f>Меню!D239</f>
        <v>800</v>
      </c>
    </row>
    <row r="7" spans="1:3" ht="30" customHeight="1">
      <c r="A7" s="422" t="s">
        <v>46</v>
      </c>
      <c r="B7" s="228">
        <f>Меню!D300</f>
        <v>635</v>
      </c>
      <c r="C7" s="228">
        <f>Меню!D367</f>
        <v>860</v>
      </c>
    </row>
    <row r="8" spans="1:3" ht="30" customHeight="1">
      <c r="A8" s="422" t="s">
        <v>47</v>
      </c>
      <c r="B8" s="228">
        <f>Меню!D421</f>
        <v>550</v>
      </c>
      <c r="C8" s="228">
        <f>Меню!D442</f>
        <v>860</v>
      </c>
    </row>
    <row r="9" spans="1:3" ht="30" customHeight="1">
      <c r="A9" s="422" t="s">
        <v>48</v>
      </c>
      <c r="B9" s="228">
        <f>Меню!D512</f>
        <v>660</v>
      </c>
      <c r="C9" s="228">
        <f>Меню!D538</f>
        <v>855</v>
      </c>
    </row>
    <row r="10" spans="1:3" ht="30" customHeight="1">
      <c r="A10" s="422" t="s">
        <v>49</v>
      </c>
      <c r="B10" s="228">
        <f>Меню!D596</f>
        <v>747</v>
      </c>
      <c r="C10" s="228">
        <f>Меню!D651</f>
        <v>845</v>
      </c>
    </row>
    <row r="11" spans="1:3" ht="30" customHeight="1">
      <c r="A11" s="422" t="s">
        <v>50</v>
      </c>
      <c r="B11" s="228">
        <f>Меню!D737</f>
        <v>620</v>
      </c>
      <c r="C11" s="228">
        <f>Меню!D764</f>
        <v>880</v>
      </c>
    </row>
    <row r="12" spans="1:3" ht="30" customHeight="1">
      <c r="A12" s="422" t="s">
        <v>51</v>
      </c>
      <c r="B12" s="228">
        <f>Меню!D826</f>
        <v>550</v>
      </c>
      <c r="C12" s="228">
        <f>Меню!D854</f>
        <v>850</v>
      </c>
    </row>
    <row r="13" spans="1:3" ht="30" customHeight="1">
      <c r="A13" s="422" t="s">
        <v>52</v>
      </c>
      <c r="B13" s="228">
        <f>Меню!D939</f>
        <v>572</v>
      </c>
      <c r="C13" s="228">
        <f>Меню!D956</f>
        <v>870</v>
      </c>
    </row>
    <row r="14" spans="1:3" ht="30" customHeight="1">
      <c r="A14" s="422" t="s">
        <v>53</v>
      </c>
      <c r="B14" s="228">
        <f>Меню!D1017</f>
        <v>650</v>
      </c>
      <c r="C14" s="228">
        <f>Меню!D1062</f>
        <v>860</v>
      </c>
    </row>
    <row r="15" spans="1:3" ht="30" customHeight="1">
      <c r="A15" s="422" t="s">
        <v>54</v>
      </c>
      <c r="B15" s="228">
        <f>Меню!D1129</f>
        <v>595</v>
      </c>
      <c r="C15" s="228">
        <f>Меню!D1152</f>
        <v>810</v>
      </c>
    </row>
  </sheetData>
  <sheetProtection password="CF52" sheet="1"/>
  <mergeCells count="2">
    <mergeCell ref="A1:C1"/>
    <mergeCell ref="A2:A3"/>
  </mergeCells>
  <conditionalFormatting sqref="B4:B15">
    <cfRule type="cellIs" priority="2" dxfId="0" operator="lessThan" stopIfTrue="1">
      <formula>550</formula>
    </cfRule>
  </conditionalFormatting>
  <conditionalFormatting sqref="C4:C15">
    <cfRule type="cellIs" priority="1" dxfId="0" operator="lessThan" stopIfTrue="1">
      <formula>800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5">
      <selection activeCell="A1" sqref="A1:R40"/>
    </sheetView>
  </sheetViews>
  <sheetFormatPr defaultColWidth="9.140625" defaultRowHeight="12.75" outlineLevelCol="1"/>
  <cols>
    <col min="1" max="1" width="2.8515625" style="317" customWidth="1"/>
    <col min="2" max="2" width="39.140625" style="317" customWidth="1"/>
    <col min="3" max="4" width="10.421875" style="317" hidden="1" customWidth="1" outlineLevel="1"/>
    <col min="5" max="5" width="18.28125" style="317" customWidth="1" collapsed="1"/>
    <col min="6" max="15" width="5.7109375" style="317" hidden="1" customWidth="1" outlineLevel="1"/>
    <col min="16" max="16" width="8.57421875" style="317" hidden="1" customWidth="1" outlineLevel="1"/>
    <col min="17" max="17" width="17.7109375" style="317" customWidth="1" collapsed="1"/>
    <col min="18" max="18" width="13.7109375" style="162" customWidth="1"/>
  </cols>
  <sheetData>
    <row r="1" ht="15">
      <c r="Q1" s="191" t="s">
        <v>108</v>
      </c>
    </row>
    <row r="2" spans="17:18" ht="12.75">
      <c r="Q2" s="318"/>
      <c r="R2" s="319"/>
    </row>
    <row r="3" spans="17:18" ht="12.75">
      <c r="Q3" s="320"/>
      <c r="R3" s="321"/>
    </row>
    <row r="4" spans="17:18" ht="12.75">
      <c r="Q4" s="320"/>
      <c r="R4" s="321"/>
    </row>
    <row r="6" spans="1:18" ht="27" customHeight="1">
      <c r="A6" s="594" t="s">
        <v>345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</row>
    <row r="7" spans="1:18" ht="15" customHeight="1">
      <c r="A7" s="592" t="s">
        <v>36</v>
      </c>
      <c r="B7" s="592" t="s">
        <v>105</v>
      </c>
      <c r="C7" s="592" t="s">
        <v>92</v>
      </c>
      <c r="D7" s="251"/>
      <c r="E7" s="592" t="s">
        <v>163</v>
      </c>
      <c r="F7" s="592" t="s">
        <v>55</v>
      </c>
      <c r="G7" s="592"/>
      <c r="H7" s="592"/>
      <c r="I7" s="592"/>
      <c r="J7" s="592"/>
      <c r="K7" s="592"/>
      <c r="L7" s="592"/>
      <c r="M7" s="592"/>
      <c r="N7" s="592"/>
      <c r="O7" s="592"/>
      <c r="P7" s="592" t="s">
        <v>106</v>
      </c>
      <c r="Q7" s="592" t="s">
        <v>164</v>
      </c>
      <c r="R7" s="592" t="s">
        <v>37</v>
      </c>
    </row>
    <row r="8" spans="1:18" ht="15" customHeight="1">
      <c r="A8" s="592"/>
      <c r="B8" s="592"/>
      <c r="C8" s="592"/>
      <c r="D8" s="251" t="s">
        <v>107</v>
      </c>
      <c r="E8" s="592"/>
      <c r="F8" s="592" t="s">
        <v>38</v>
      </c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</row>
    <row r="9" spans="1:18" ht="37.5" customHeight="1">
      <c r="A9" s="592"/>
      <c r="B9" s="592"/>
      <c r="C9" s="592"/>
      <c r="D9" s="251"/>
      <c r="E9" s="592"/>
      <c r="F9" s="322">
        <v>1</v>
      </c>
      <c r="G9" s="322">
        <v>2</v>
      </c>
      <c r="H9" s="322">
        <v>3</v>
      </c>
      <c r="I9" s="322">
        <v>4</v>
      </c>
      <c r="J9" s="322">
        <v>5</v>
      </c>
      <c r="K9" s="322">
        <v>6</v>
      </c>
      <c r="L9" s="322">
        <v>7</v>
      </c>
      <c r="M9" s="322">
        <v>8</v>
      </c>
      <c r="N9" s="322">
        <v>9</v>
      </c>
      <c r="O9" s="322">
        <v>10</v>
      </c>
      <c r="P9" s="592"/>
      <c r="Q9" s="592"/>
      <c r="R9" s="592"/>
    </row>
    <row r="10" spans="1:18" s="59" customFormat="1" ht="15.75" customHeight="1">
      <c r="A10" s="244">
        <v>1</v>
      </c>
      <c r="B10" s="323" t="s">
        <v>176</v>
      </c>
      <c r="C10" s="252">
        <v>120</v>
      </c>
      <c r="D10" s="245">
        <v>50</v>
      </c>
      <c r="E10" s="252">
        <v>120</v>
      </c>
      <c r="F10" s="246">
        <f>Меню!L1133</f>
        <v>90</v>
      </c>
      <c r="G10" s="246">
        <f>Меню!L1029</f>
        <v>50</v>
      </c>
      <c r="H10" s="246">
        <f>Меню!L971</f>
        <v>50</v>
      </c>
      <c r="I10" s="246">
        <f>Меню!L848</f>
        <v>70</v>
      </c>
      <c r="J10" s="246">
        <f>Меню!L751</f>
        <v>80</v>
      </c>
      <c r="K10" s="246">
        <f>Меню!L626</f>
        <v>70</v>
      </c>
      <c r="L10" s="246">
        <f>Меню!L548</f>
        <v>70</v>
      </c>
      <c r="M10" s="246">
        <f>Меню!L442</f>
        <v>70</v>
      </c>
      <c r="N10" s="246">
        <f>Меню!L303</f>
        <v>70</v>
      </c>
      <c r="O10" s="246">
        <f>Меню!L209</f>
        <v>70</v>
      </c>
      <c r="P10" s="246">
        <f aca="true" t="shared" si="0" ref="P10:P39">SUM(F10:O10)</f>
        <v>690</v>
      </c>
      <c r="Q10" s="193">
        <f>накопительная!S5</f>
        <v>67.5</v>
      </c>
      <c r="R10" s="192">
        <f>накопительная!T5</f>
        <v>99.5575221238938</v>
      </c>
    </row>
    <row r="11" spans="1:18" s="149" customFormat="1" ht="15.75" customHeight="1">
      <c r="A11" s="244">
        <v>2</v>
      </c>
      <c r="B11" s="323" t="s">
        <v>136</v>
      </c>
      <c r="C11" s="252">
        <v>200</v>
      </c>
      <c r="D11" s="245">
        <v>50</v>
      </c>
      <c r="E11" s="252">
        <v>200</v>
      </c>
      <c r="F11" s="246">
        <f>Меню!L1134</f>
        <v>120</v>
      </c>
      <c r="G11" s="246">
        <f>Меню!L1030</f>
        <v>40</v>
      </c>
      <c r="H11" s="246">
        <f>Меню!L972</f>
        <v>100</v>
      </c>
      <c r="I11" s="246">
        <f>Меню!L849</f>
        <v>119</v>
      </c>
      <c r="J11" s="246">
        <f>Меню!L752</f>
        <v>90</v>
      </c>
      <c r="K11" s="246">
        <f>Меню!L627</f>
        <v>113</v>
      </c>
      <c r="L11" s="246">
        <f>Меню!L549</f>
        <v>118</v>
      </c>
      <c r="M11" s="246">
        <f>Меню!L443</f>
        <v>138.5</v>
      </c>
      <c r="N11" s="246">
        <f>Меню!L304</f>
        <v>88</v>
      </c>
      <c r="O11" s="246">
        <f>Меню!L210</f>
        <v>97</v>
      </c>
      <c r="P11" s="246">
        <f t="shared" si="0"/>
        <v>1023.5</v>
      </c>
      <c r="Q11" s="193">
        <f>накопительная!S6</f>
        <v>109.04166666666667</v>
      </c>
      <c r="R11" s="192">
        <f>накопительная!T6</f>
        <v>100.0382262996942</v>
      </c>
    </row>
    <row r="12" spans="1:18" s="149" customFormat="1" ht="15.75" customHeight="1">
      <c r="A12" s="244">
        <v>3</v>
      </c>
      <c r="B12" s="244" t="s">
        <v>162</v>
      </c>
      <c r="C12" s="252">
        <v>20</v>
      </c>
      <c r="D12" s="245">
        <v>70</v>
      </c>
      <c r="E12" s="252">
        <v>20</v>
      </c>
      <c r="F12" s="246">
        <f>Меню!L1135</f>
        <v>0</v>
      </c>
      <c r="G12" s="246">
        <f>Меню!L1031</f>
        <v>61.3</v>
      </c>
      <c r="H12" s="246">
        <f>Меню!L973</f>
        <v>22</v>
      </c>
      <c r="I12" s="246">
        <f>Меню!L850</f>
        <v>9</v>
      </c>
      <c r="J12" s="246">
        <f>Меню!L753</f>
        <v>2</v>
      </c>
      <c r="K12" s="246">
        <f>Меню!L628</f>
        <v>11.5</v>
      </c>
      <c r="L12" s="246">
        <f>Меню!L550</f>
        <v>0</v>
      </c>
      <c r="M12" s="246">
        <f>Меню!L444</f>
        <v>7</v>
      </c>
      <c r="N12" s="246">
        <f>Меню!L305</f>
        <v>8</v>
      </c>
      <c r="O12" s="246">
        <f>Меню!L211</f>
        <v>0</v>
      </c>
      <c r="P12" s="246">
        <f t="shared" si="0"/>
        <v>120.8</v>
      </c>
      <c r="Q12" s="193">
        <f>накопительная!S7</f>
        <v>11.858333333333334</v>
      </c>
      <c r="R12" s="192">
        <f>накопительная!T7</f>
        <v>100.49435028248588</v>
      </c>
    </row>
    <row r="13" spans="1:18" s="120" customFormat="1" ht="15.75" customHeight="1">
      <c r="A13" s="244">
        <v>4</v>
      </c>
      <c r="B13" s="323" t="s">
        <v>72</v>
      </c>
      <c r="C13" s="324">
        <v>50</v>
      </c>
      <c r="D13" s="245">
        <v>55</v>
      </c>
      <c r="E13" s="324">
        <v>50</v>
      </c>
      <c r="F13" s="246">
        <f>Меню!L1136</f>
        <v>0</v>
      </c>
      <c r="G13" s="246">
        <f>Меню!L1032</f>
        <v>71</v>
      </c>
      <c r="H13" s="246">
        <f>Меню!L974</f>
        <v>5</v>
      </c>
      <c r="I13" s="246">
        <f>Меню!L851</f>
        <v>61</v>
      </c>
      <c r="J13" s="246">
        <f>Меню!L754</f>
        <v>65</v>
      </c>
      <c r="K13" s="246">
        <f>Меню!L629</f>
        <v>0</v>
      </c>
      <c r="L13" s="246">
        <f>Меню!L551</f>
        <v>103</v>
      </c>
      <c r="M13" s="246">
        <f>Меню!L445</f>
        <v>16.666666666666668</v>
      </c>
      <c r="N13" s="246">
        <f>Меню!L306</f>
        <v>45</v>
      </c>
      <c r="O13" s="246">
        <f>Меню!L212</f>
        <v>12.363636363636363</v>
      </c>
      <c r="P13" s="246">
        <f t="shared" si="0"/>
        <v>379.03030303030306</v>
      </c>
      <c r="Q13" s="193">
        <f>накопительная!S8</f>
        <v>39.00252525252525</v>
      </c>
      <c r="R13" s="192">
        <f>накопительная!T8</f>
        <v>100.006475006475</v>
      </c>
    </row>
    <row r="14" spans="1:18" s="120" customFormat="1" ht="15.75" customHeight="1">
      <c r="A14" s="244">
        <v>5</v>
      </c>
      <c r="B14" s="323" t="s">
        <v>177</v>
      </c>
      <c r="C14" s="324">
        <v>20</v>
      </c>
      <c r="D14" s="245">
        <v>55</v>
      </c>
      <c r="E14" s="324">
        <v>20</v>
      </c>
      <c r="F14" s="246">
        <f>Меню!L1137</f>
        <v>62</v>
      </c>
      <c r="G14" s="246">
        <f>Меню!L1033</f>
        <v>0</v>
      </c>
      <c r="H14" s="246">
        <f>Меню!L975</f>
        <v>0</v>
      </c>
      <c r="I14" s="246">
        <f>Меню!L852</f>
        <v>0</v>
      </c>
      <c r="J14" s="246">
        <f>Меню!L755</f>
        <v>0</v>
      </c>
      <c r="K14" s="246">
        <f>Меню!L630</f>
        <v>20</v>
      </c>
      <c r="L14" s="246">
        <f>Меню!L552</f>
        <v>0</v>
      </c>
      <c r="M14" s="246">
        <f>Меню!L446</f>
        <v>65</v>
      </c>
      <c r="N14" s="246">
        <f>Меню!L307</f>
        <v>0</v>
      </c>
      <c r="O14" s="246">
        <f>Меню!L213</f>
        <v>0</v>
      </c>
      <c r="P14" s="246">
        <f t="shared" si="0"/>
        <v>147</v>
      </c>
      <c r="Q14" s="193">
        <f>накопительная!S9</f>
        <v>12.25</v>
      </c>
      <c r="R14" s="192">
        <f>накопительная!T9</f>
        <v>100.40983606557377</v>
      </c>
    </row>
    <row r="15" spans="1:18" s="149" customFormat="1" ht="15.75" customHeight="1">
      <c r="A15" s="244">
        <v>6</v>
      </c>
      <c r="B15" s="244" t="s">
        <v>28</v>
      </c>
      <c r="C15" s="252">
        <v>187</v>
      </c>
      <c r="D15" s="245">
        <v>50</v>
      </c>
      <c r="E15" s="252">
        <v>187</v>
      </c>
      <c r="F15" s="246">
        <f>Меню!L1138</f>
        <v>198</v>
      </c>
      <c r="G15" s="246">
        <f>Меню!L1034</f>
        <v>95</v>
      </c>
      <c r="H15" s="246">
        <f>Меню!L976</f>
        <v>228</v>
      </c>
      <c r="I15" s="246">
        <f>Меню!L853</f>
        <v>37</v>
      </c>
      <c r="J15" s="246">
        <f>Меню!L756</f>
        <v>100</v>
      </c>
      <c r="K15" s="246">
        <f>Меню!L631</f>
        <v>189</v>
      </c>
      <c r="L15" s="246">
        <f>Меню!L553</f>
        <v>43.333333333333336</v>
      </c>
      <c r="M15" s="246">
        <f>Меню!L447</f>
        <v>232</v>
      </c>
      <c r="N15" s="246">
        <f>Меню!L308</f>
        <v>191</v>
      </c>
      <c r="O15" s="246">
        <f>Меню!L214</f>
        <v>180</v>
      </c>
      <c r="P15" s="246">
        <f t="shared" si="0"/>
        <v>1493.3333333333335</v>
      </c>
      <c r="Q15" s="193">
        <f>накопительная!S10</f>
        <v>162.02777777777777</v>
      </c>
      <c r="R15" s="192">
        <f>накопительная!T10</f>
        <v>99.5929545625286</v>
      </c>
    </row>
    <row r="16" spans="1:18" s="120" customFormat="1" ht="15.75" customHeight="1">
      <c r="A16" s="244">
        <v>7</v>
      </c>
      <c r="B16" s="323" t="s">
        <v>346</v>
      </c>
      <c r="C16" s="252">
        <v>320</v>
      </c>
      <c r="D16" s="245">
        <v>60</v>
      </c>
      <c r="E16" s="252">
        <v>320</v>
      </c>
      <c r="F16" s="246">
        <f>Меню!L1139</f>
        <v>155.7</v>
      </c>
      <c r="G16" s="246">
        <f>Меню!L1035</f>
        <v>122.2</v>
      </c>
      <c r="H16" s="246">
        <f>Меню!L977</f>
        <v>124.2</v>
      </c>
      <c r="I16" s="246">
        <f>Меню!L854</f>
        <v>520.5999999999999</v>
      </c>
      <c r="J16" s="246">
        <f>Меню!L757</f>
        <v>217.1</v>
      </c>
      <c r="K16" s="246">
        <f>Меню!L632</f>
        <v>291.7</v>
      </c>
      <c r="L16" s="246">
        <f>Меню!L554</f>
        <v>197.83333333333331</v>
      </c>
      <c r="M16" s="246">
        <f>Меню!L448</f>
        <v>221</v>
      </c>
      <c r="N16" s="246">
        <f>Меню!L309</f>
        <v>218</v>
      </c>
      <c r="O16" s="246">
        <f>Меню!L215</f>
        <v>178</v>
      </c>
      <c r="P16" s="246">
        <f t="shared" si="0"/>
        <v>2246.333333333333</v>
      </c>
      <c r="Q16" s="193">
        <f>накопительная!S11</f>
        <v>222.99236111111108</v>
      </c>
      <c r="R16" s="192">
        <f>накопительная!T11</f>
        <v>99.55016121031746</v>
      </c>
    </row>
    <row r="17" spans="1:18" s="120" customFormat="1" ht="15.75" customHeight="1">
      <c r="A17" s="244">
        <v>8</v>
      </c>
      <c r="B17" s="244" t="s">
        <v>29</v>
      </c>
      <c r="C17" s="252">
        <v>185</v>
      </c>
      <c r="D17" s="245">
        <v>65</v>
      </c>
      <c r="E17" s="252">
        <v>185</v>
      </c>
      <c r="F17" s="246">
        <f>Меню!L1140</f>
        <v>150</v>
      </c>
      <c r="G17" s="246">
        <f>Меню!L1036</f>
        <v>160</v>
      </c>
      <c r="H17" s="246">
        <f>Меню!L978</f>
        <v>31</v>
      </c>
      <c r="I17" s="246">
        <f>Меню!L855</f>
        <v>0</v>
      </c>
      <c r="J17" s="246">
        <f>Меню!L758</f>
        <v>185</v>
      </c>
      <c r="K17" s="246">
        <f>Меню!L633</f>
        <v>157</v>
      </c>
      <c r="L17" s="246">
        <f>Меню!L555</f>
        <v>150</v>
      </c>
      <c r="M17" s="246">
        <f>Меню!L449</f>
        <v>26.4</v>
      </c>
      <c r="N17" s="246">
        <f>Меню!L310</f>
        <v>181</v>
      </c>
      <c r="O17" s="246">
        <f>Меню!L216</f>
        <v>181</v>
      </c>
      <c r="P17" s="246">
        <f t="shared" si="0"/>
        <v>1221.4</v>
      </c>
      <c r="Q17" s="193">
        <f>накопительная!S12</f>
        <v>127.61666666666667</v>
      </c>
      <c r="R17" s="192">
        <f>накопительная!T12</f>
        <v>99.97388693040867</v>
      </c>
    </row>
    <row r="18" spans="1:18" s="59" customFormat="1" ht="15.75" customHeight="1">
      <c r="A18" s="244">
        <v>9</v>
      </c>
      <c r="B18" s="244" t="s">
        <v>178</v>
      </c>
      <c r="C18" s="252">
        <v>20</v>
      </c>
      <c r="D18" s="245">
        <v>50</v>
      </c>
      <c r="E18" s="252">
        <v>20</v>
      </c>
      <c r="F18" s="246">
        <f>Меню!L1141</f>
        <v>0</v>
      </c>
      <c r="G18" s="246">
        <f>Меню!L1037</f>
        <v>0</v>
      </c>
      <c r="H18" s="246">
        <f>Меню!L979</f>
        <v>0</v>
      </c>
      <c r="I18" s="246">
        <f>Меню!L856</f>
        <v>25</v>
      </c>
      <c r="J18" s="246">
        <f>Меню!L759</f>
        <v>0</v>
      </c>
      <c r="K18" s="246">
        <f>Меню!L634</f>
        <v>0</v>
      </c>
      <c r="L18" s="246">
        <f>Меню!L556</f>
        <v>25</v>
      </c>
      <c r="M18" s="246">
        <f>Меню!L450</f>
        <v>0</v>
      </c>
      <c r="N18" s="246">
        <f>Меню!L311</f>
        <v>25</v>
      </c>
      <c r="O18" s="246">
        <f>Меню!L217</f>
        <v>0</v>
      </c>
      <c r="P18" s="246">
        <f t="shared" si="0"/>
        <v>75</v>
      </c>
      <c r="Q18" s="193">
        <f>накопительная!S13</f>
        <v>6.25</v>
      </c>
      <c r="R18" s="192">
        <f>накопительная!T13</f>
        <v>100.16025641025641</v>
      </c>
    </row>
    <row r="19" spans="1:18" s="120" customFormat="1" ht="15.75" customHeight="1">
      <c r="A19" s="244">
        <v>10</v>
      </c>
      <c r="B19" s="323" t="s">
        <v>347</v>
      </c>
      <c r="C19" s="325">
        <v>35</v>
      </c>
      <c r="D19" s="245">
        <v>60</v>
      </c>
      <c r="E19" s="325">
        <v>35</v>
      </c>
      <c r="F19" s="246">
        <f>Меню!L1142</f>
        <v>15</v>
      </c>
      <c r="G19" s="246">
        <f>Меню!L1038</f>
        <v>18</v>
      </c>
      <c r="H19" s="246">
        <f>Меню!L980</f>
        <v>39</v>
      </c>
      <c r="I19" s="246">
        <f>Меню!L857</f>
        <v>28.5</v>
      </c>
      <c r="J19" s="246">
        <f>Меню!L760</f>
        <v>27</v>
      </c>
      <c r="K19" s="246">
        <f>Меню!L635</f>
        <v>15</v>
      </c>
      <c r="L19" s="246">
        <f>Меню!L557</f>
        <v>31.6</v>
      </c>
      <c r="M19" s="246">
        <f>Меню!L451</f>
        <v>27</v>
      </c>
      <c r="N19" s="246">
        <f>Меню!L312</f>
        <v>15</v>
      </c>
      <c r="O19" s="246">
        <f>Меню!L218</f>
        <v>40</v>
      </c>
      <c r="P19" s="246">
        <f t="shared" si="0"/>
        <v>256.1</v>
      </c>
      <c r="Q19" s="193">
        <f>накопительная!S14</f>
        <v>23.675</v>
      </c>
      <c r="R19" s="192">
        <f>накопительная!T14</f>
        <v>100.21164021164022</v>
      </c>
    </row>
    <row r="20" spans="1:18" s="59" customFormat="1" ht="15.75" customHeight="1">
      <c r="A20" s="244">
        <v>11</v>
      </c>
      <c r="B20" s="244" t="s">
        <v>30</v>
      </c>
      <c r="C20" s="325">
        <v>200</v>
      </c>
      <c r="D20" s="245">
        <v>50</v>
      </c>
      <c r="E20" s="325">
        <v>200</v>
      </c>
      <c r="F20" s="246">
        <f>Меню!L1143</f>
        <v>200</v>
      </c>
      <c r="G20" s="246">
        <f>Меню!L1039</f>
        <v>200</v>
      </c>
      <c r="H20" s="246">
        <f>Меню!L981</f>
        <v>0</v>
      </c>
      <c r="I20" s="246">
        <f>Меню!L858</f>
        <v>0</v>
      </c>
      <c r="J20" s="246">
        <f>Меню!L761</f>
        <v>0</v>
      </c>
      <c r="K20" s="246">
        <f>Меню!L636</f>
        <v>200</v>
      </c>
      <c r="L20" s="246">
        <f>Меню!L558</f>
        <v>0</v>
      </c>
      <c r="M20" s="246">
        <f>Меню!L452</f>
        <v>0</v>
      </c>
      <c r="N20" s="246">
        <f>Меню!L313</f>
        <v>200</v>
      </c>
      <c r="O20" s="246">
        <f>Меню!L219</f>
        <v>0</v>
      </c>
      <c r="P20" s="246">
        <f t="shared" si="0"/>
        <v>800</v>
      </c>
      <c r="Q20" s="193">
        <f>накопительная!S15</f>
        <v>100</v>
      </c>
      <c r="R20" s="192">
        <f>накопительная!T15</f>
        <v>100</v>
      </c>
    </row>
    <row r="21" spans="1:18" s="120" customFormat="1" ht="15.75" customHeight="1">
      <c r="A21" s="244">
        <v>12</v>
      </c>
      <c r="B21" s="244" t="s">
        <v>31</v>
      </c>
      <c r="C21" s="252">
        <v>15</v>
      </c>
      <c r="D21" s="245">
        <v>50</v>
      </c>
      <c r="E21" s="252">
        <v>15</v>
      </c>
      <c r="F21" s="246">
        <f>Меню!L1144</f>
        <v>0</v>
      </c>
      <c r="G21" s="246">
        <f>Меню!L1040</f>
        <v>0</v>
      </c>
      <c r="H21" s="246">
        <f>Меню!L982</f>
        <v>30</v>
      </c>
      <c r="I21" s="246">
        <f>Меню!L859</f>
        <v>20</v>
      </c>
      <c r="J21" s="246">
        <f>Меню!L762</f>
        <v>30</v>
      </c>
      <c r="K21" s="246">
        <f>Меню!L637</f>
        <v>0</v>
      </c>
      <c r="L21" s="246">
        <f>Меню!L559</f>
        <v>0</v>
      </c>
      <c r="M21" s="246">
        <f>Меню!L453</f>
        <v>0</v>
      </c>
      <c r="N21" s="246">
        <f>Меню!L314</f>
        <v>0</v>
      </c>
      <c r="O21" s="246">
        <f>Меню!L220</f>
        <v>0</v>
      </c>
      <c r="P21" s="246">
        <f t="shared" si="0"/>
        <v>80</v>
      </c>
      <c r="Q21" s="193">
        <f>накопительная!S16</f>
        <v>9.166666666666666</v>
      </c>
      <c r="R21" s="192">
        <f>накопительная!T16</f>
        <v>100.18214936247722</v>
      </c>
    </row>
    <row r="22" spans="1:18" s="59" customFormat="1" ht="15.75" customHeight="1">
      <c r="A22" s="244">
        <v>13</v>
      </c>
      <c r="B22" s="244" t="s">
        <v>77</v>
      </c>
      <c r="C22" s="252">
        <v>0.3</v>
      </c>
      <c r="D22" s="245">
        <v>50</v>
      </c>
      <c r="E22" s="252">
        <v>0.3</v>
      </c>
      <c r="F22" s="246">
        <f>Меню!L1145</f>
        <v>0</v>
      </c>
      <c r="G22" s="246">
        <f>Меню!L1041</f>
        <v>0.45</v>
      </c>
      <c r="H22" s="246">
        <f>Меню!L983</f>
        <v>0</v>
      </c>
      <c r="I22" s="246">
        <f>Меню!L860</f>
        <v>0</v>
      </c>
      <c r="J22" s="246">
        <f>Меню!L763</f>
        <v>0</v>
      </c>
      <c r="K22" s="246">
        <f>Меню!L638</f>
        <v>0</v>
      </c>
      <c r="L22" s="246">
        <f>Меню!L560</f>
        <v>0</v>
      </c>
      <c r="M22" s="246">
        <f>Меню!L454</f>
        <v>0</v>
      </c>
      <c r="N22" s="246">
        <f>Меню!L315</f>
        <v>0</v>
      </c>
      <c r="O22" s="246">
        <f>Меню!L221</f>
        <v>0</v>
      </c>
      <c r="P22" s="246">
        <f t="shared" si="0"/>
        <v>0.45</v>
      </c>
      <c r="Q22" s="193">
        <f>накопительная!S17</f>
        <v>0.0375</v>
      </c>
      <c r="R22" s="192">
        <f>накопительная!T17</f>
        <v>100</v>
      </c>
    </row>
    <row r="23" spans="1:18" s="59" customFormat="1" ht="15.75" customHeight="1">
      <c r="A23" s="244">
        <v>14</v>
      </c>
      <c r="B23" s="323" t="s">
        <v>39</v>
      </c>
      <c r="C23" s="252">
        <v>1.2</v>
      </c>
      <c r="D23" s="245">
        <v>50</v>
      </c>
      <c r="E23" s="252">
        <v>1.2</v>
      </c>
      <c r="F23" s="246">
        <f>Меню!L1146</f>
        <v>5</v>
      </c>
      <c r="G23" s="246">
        <f>Меню!L1042</f>
        <v>0</v>
      </c>
      <c r="H23" s="246">
        <f>Меню!L984</f>
        <v>0</v>
      </c>
      <c r="I23" s="246">
        <f>Меню!L861</f>
        <v>0</v>
      </c>
      <c r="J23" s="246">
        <f>Меню!L764</f>
        <v>0</v>
      </c>
      <c r="K23" s="246">
        <f>Меню!L639</f>
        <v>0</v>
      </c>
      <c r="L23" s="246">
        <f>Меню!L561</f>
        <v>5</v>
      </c>
      <c r="M23" s="246">
        <f>Меню!L455</f>
        <v>0</v>
      </c>
      <c r="N23" s="246">
        <f>Меню!L316</f>
        <v>0</v>
      </c>
      <c r="O23" s="246">
        <f>Меню!L222</f>
        <v>0</v>
      </c>
      <c r="P23" s="248">
        <f t="shared" si="0"/>
        <v>10</v>
      </c>
      <c r="Q23" s="193">
        <f>накопительная!S18</f>
        <v>0.8333333333333334</v>
      </c>
      <c r="R23" s="192">
        <f>накопительная!T18</f>
        <v>99.92006394884095</v>
      </c>
    </row>
    <row r="24" spans="1:18" s="59" customFormat="1" ht="15.75" customHeight="1">
      <c r="A24" s="244">
        <v>15</v>
      </c>
      <c r="B24" s="244" t="s">
        <v>179</v>
      </c>
      <c r="C24" s="252">
        <v>2</v>
      </c>
      <c r="D24" s="245"/>
      <c r="E24" s="252">
        <v>2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8"/>
      <c r="Q24" s="193">
        <f>накопительная!S19</f>
        <v>0.6666666666666666</v>
      </c>
      <c r="R24" s="192">
        <f>накопительная!T19</f>
        <v>99.50248756218903</v>
      </c>
    </row>
    <row r="25" spans="1:18" s="120" customFormat="1" ht="15.75" customHeight="1">
      <c r="A25" s="244">
        <v>16</v>
      </c>
      <c r="B25" s="244" t="s">
        <v>32</v>
      </c>
      <c r="C25" s="252">
        <v>2</v>
      </c>
      <c r="D25" s="245">
        <v>50</v>
      </c>
      <c r="E25" s="252">
        <v>2</v>
      </c>
      <c r="F25" s="246">
        <f>Меню!L1148</f>
        <v>0</v>
      </c>
      <c r="G25" s="248">
        <f>Меню!L1044</f>
        <v>2</v>
      </c>
      <c r="H25" s="248">
        <f>Меню!L986</f>
        <v>2</v>
      </c>
      <c r="I25" s="248">
        <f>Меню!L863</f>
        <v>0</v>
      </c>
      <c r="J25" s="248">
        <f>Меню!L766</f>
        <v>2</v>
      </c>
      <c r="K25" s="248">
        <f>Меню!L641</f>
        <v>2</v>
      </c>
      <c r="L25" s="248">
        <f>Меню!L563</f>
        <v>0</v>
      </c>
      <c r="M25" s="248">
        <f>Меню!L457</f>
        <v>2</v>
      </c>
      <c r="N25" s="248">
        <f>Меню!L318</f>
        <v>0</v>
      </c>
      <c r="O25" s="248">
        <f>Меню!L224</f>
        <v>2</v>
      </c>
      <c r="P25" s="246">
        <f t="shared" si="0"/>
        <v>12</v>
      </c>
      <c r="Q25" s="193">
        <f>накопительная!S20</f>
        <v>1.1666666666666667</v>
      </c>
      <c r="R25" s="192">
        <f>накопительная!T20</f>
        <v>99.71509971509973</v>
      </c>
    </row>
    <row r="26" spans="1:18" s="59" customFormat="1" ht="15.75" customHeight="1">
      <c r="A26" s="244">
        <v>17</v>
      </c>
      <c r="B26" s="244" t="s">
        <v>180</v>
      </c>
      <c r="C26" s="252">
        <v>78</v>
      </c>
      <c r="D26" s="245">
        <v>60</v>
      </c>
      <c r="E26" s="252">
        <v>78</v>
      </c>
      <c r="F26" s="246">
        <f>Меню!L1149</f>
        <v>96</v>
      </c>
      <c r="G26" s="246">
        <f>Меню!L1045</f>
        <v>0</v>
      </c>
      <c r="H26" s="246">
        <f>Меню!L987</f>
        <v>16</v>
      </c>
      <c r="I26" s="246">
        <f>Меню!L864</f>
        <v>95</v>
      </c>
      <c r="J26" s="246">
        <f>Меню!L767</f>
        <v>0</v>
      </c>
      <c r="K26" s="246">
        <f>Меню!L642</f>
        <v>109</v>
      </c>
      <c r="L26" s="246">
        <f>Меню!L564</f>
        <v>91</v>
      </c>
      <c r="M26" s="246">
        <f>Меню!L458</f>
        <v>95</v>
      </c>
      <c r="N26" s="246">
        <f>Меню!L319</f>
        <v>106</v>
      </c>
      <c r="O26" s="246">
        <f>Меню!L225</f>
        <v>0</v>
      </c>
      <c r="P26" s="246">
        <f t="shared" si="0"/>
        <v>608</v>
      </c>
      <c r="Q26" s="193">
        <f>накопительная!S21</f>
        <v>53.416666666666664</v>
      </c>
      <c r="R26" s="192">
        <f>накопительная!T21</f>
        <v>99.97504523051967</v>
      </c>
    </row>
    <row r="27" spans="1:18" s="59" customFormat="1" ht="15.75" customHeight="1">
      <c r="A27" s="244">
        <v>18</v>
      </c>
      <c r="B27" s="244" t="s">
        <v>182</v>
      </c>
      <c r="C27" s="252">
        <v>53</v>
      </c>
      <c r="D27" s="245">
        <v>50</v>
      </c>
      <c r="E27" s="252">
        <v>53</v>
      </c>
      <c r="F27" s="246">
        <f>Меню!L1150</f>
        <v>0</v>
      </c>
      <c r="G27" s="246">
        <f>Меню!L1046</f>
        <v>26</v>
      </c>
      <c r="H27" s="246">
        <f>Меню!L988</f>
        <v>0</v>
      </c>
      <c r="I27" s="246">
        <f>Меню!L865</f>
        <v>67</v>
      </c>
      <c r="J27" s="246">
        <f>Меню!L768</f>
        <v>69</v>
      </c>
      <c r="K27" s="246">
        <f>Меню!L643</f>
        <v>49</v>
      </c>
      <c r="L27" s="246">
        <f>Меню!L565</f>
        <v>0</v>
      </c>
      <c r="M27" s="246">
        <f>Меню!L459</f>
        <v>80</v>
      </c>
      <c r="N27" s="246">
        <f>Меню!L320</f>
        <v>47</v>
      </c>
      <c r="O27" s="246">
        <f>Меню!L226</f>
        <v>62</v>
      </c>
      <c r="P27" s="246">
        <f t="shared" si="0"/>
        <v>400</v>
      </c>
      <c r="Q27" s="193">
        <f>накопительная!S22</f>
        <v>33.333333333333336</v>
      </c>
      <c r="R27" s="192">
        <f>накопительная!T22</f>
        <v>99.8302885095338</v>
      </c>
    </row>
    <row r="28" spans="1:18" s="59" customFormat="1" ht="15.75" customHeight="1">
      <c r="A28" s="244">
        <v>19</v>
      </c>
      <c r="B28" s="244" t="s">
        <v>181</v>
      </c>
      <c r="C28" s="252">
        <v>40</v>
      </c>
      <c r="D28" s="245">
        <v>65</v>
      </c>
      <c r="E28" s="252">
        <v>40</v>
      </c>
      <c r="F28" s="246">
        <f>Меню!L1151</f>
        <v>0</v>
      </c>
      <c r="G28" s="246">
        <f>Меню!L1047</f>
        <v>121</v>
      </c>
      <c r="H28" s="246">
        <f>Меню!L989</f>
        <v>0</v>
      </c>
      <c r="I28" s="246">
        <f>Меню!L866</f>
        <v>0</v>
      </c>
      <c r="J28" s="246">
        <f>Меню!L769</f>
        <v>0</v>
      </c>
      <c r="K28" s="246">
        <f>Меню!L644</f>
        <v>0</v>
      </c>
      <c r="L28" s="246">
        <f>Меню!L566</f>
        <v>0</v>
      </c>
      <c r="M28" s="246">
        <f>Меню!L460</f>
        <v>0</v>
      </c>
      <c r="N28" s="246">
        <f>Меню!L321</f>
        <v>0</v>
      </c>
      <c r="O28" s="246">
        <f>Меню!L227</f>
        <v>0</v>
      </c>
      <c r="P28" s="246">
        <f t="shared" si="0"/>
        <v>121</v>
      </c>
      <c r="Q28" s="193">
        <f>накопительная!S23</f>
        <v>16.333333333333332</v>
      </c>
      <c r="R28" s="192">
        <f>накопительная!T23</f>
        <v>99.59349593495935</v>
      </c>
    </row>
    <row r="29" spans="1:18" s="59" customFormat="1" ht="15.75" customHeight="1">
      <c r="A29" s="244">
        <v>20</v>
      </c>
      <c r="B29" s="323" t="s">
        <v>183</v>
      </c>
      <c r="C29" s="252">
        <v>77</v>
      </c>
      <c r="D29" s="245">
        <v>50</v>
      </c>
      <c r="E29" s="252">
        <v>77</v>
      </c>
      <c r="F29" s="246">
        <f>Меню!L1152</f>
        <v>0</v>
      </c>
      <c r="G29" s="246">
        <f>Меню!L1048</f>
        <v>0</v>
      </c>
      <c r="H29" s="246">
        <f>Меню!L990</f>
        <v>143</v>
      </c>
      <c r="I29" s="246">
        <f>Меню!L867</f>
        <v>30</v>
      </c>
      <c r="J29" s="246">
        <f>Меню!L770</f>
        <v>98</v>
      </c>
      <c r="K29" s="246">
        <f>Меню!L645</f>
        <v>0</v>
      </c>
      <c r="L29" s="246">
        <f>Меню!L567</f>
        <v>0</v>
      </c>
      <c r="M29" s="246" t="e">
        <f>Меню!#REF!</f>
        <v>#REF!</v>
      </c>
      <c r="N29" s="246">
        <f>Меню!L322</f>
        <v>0</v>
      </c>
      <c r="O29" s="246">
        <f>Меню!L228</f>
        <v>60</v>
      </c>
      <c r="P29" s="246" t="e">
        <f t="shared" si="0"/>
        <v>#REF!</v>
      </c>
      <c r="Q29" s="193">
        <f>накопительная!S24</f>
        <v>50.333333333333336</v>
      </c>
      <c r="R29" s="192">
        <f>накопительная!T24</f>
        <v>99.79842040910744</v>
      </c>
    </row>
    <row r="30" spans="1:18" s="59" customFormat="1" ht="15.75" customHeight="1">
      <c r="A30" s="244">
        <v>21</v>
      </c>
      <c r="B30" s="326" t="s">
        <v>184</v>
      </c>
      <c r="C30" s="324">
        <v>350</v>
      </c>
      <c r="D30" s="245">
        <v>50</v>
      </c>
      <c r="E30" s="324">
        <v>350</v>
      </c>
      <c r="F30" s="246">
        <f>Меню!L1153</f>
        <v>130</v>
      </c>
      <c r="G30" s="246">
        <f>Меню!L1049</f>
        <v>175.6</v>
      </c>
      <c r="H30" s="246">
        <f>Меню!L991</f>
        <v>153</v>
      </c>
      <c r="I30" s="246">
        <f>Меню!L868</f>
        <v>70</v>
      </c>
      <c r="J30" s="246">
        <f>Меню!L771</f>
        <v>47</v>
      </c>
      <c r="K30" s="246">
        <f>Меню!L646</f>
        <v>60</v>
      </c>
      <c r="L30" s="246">
        <f>Меню!L568</f>
        <v>359</v>
      </c>
      <c r="M30" s="246">
        <f>Меню!L462</f>
        <v>15</v>
      </c>
      <c r="N30" s="246">
        <f>Меню!L323</f>
        <v>27</v>
      </c>
      <c r="O30" s="246">
        <f>Меню!L229</f>
        <v>30</v>
      </c>
      <c r="P30" s="246">
        <f t="shared" si="0"/>
        <v>1066.6</v>
      </c>
      <c r="Q30" s="193">
        <f>накопительная!S25</f>
        <v>99.3</v>
      </c>
      <c r="R30" s="192">
        <f>накопительная!T25</f>
        <v>99.54887218045113</v>
      </c>
    </row>
    <row r="31" spans="1:18" s="59" customFormat="1" ht="21.75" customHeight="1">
      <c r="A31" s="244">
        <v>22</v>
      </c>
      <c r="B31" s="326" t="s">
        <v>185</v>
      </c>
      <c r="C31" s="324">
        <v>180</v>
      </c>
      <c r="D31" s="245">
        <v>50</v>
      </c>
      <c r="E31" s="324">
        <v>180</v>
      </c>
      <c r="F31" s="246">
        <f>Меню!L1154</f>
        <v>0</v>
      </c>
      <c r="G31" s="246">
        <f>Меню!L1050</f>
        <v>0</v>
      </c>
      <c r="H31" s="246">
        <f>Меню!L992</f>
        <v>125</v>
      </c>
      <c r="I31" s="246">
        <f>Меню!L869</f>
        <v>0</v>
      </c>
      <c r="J31" s="246">
        <f>Меню!L772</f>
        <v>0</v>
      </c>
      <c r="K31" s="246">
        <f>Меню!L647</f>
        <v>0</v>
      </c>
      <c r="L31" s="246">
        <f>Меню!L569</f>
        <v>0</v>
      </c>
      <c r="M31" s="246">
        <f>Меню!L463</f>
        <v>0</v>
      </c>
      <c r="N31" s="246">
        <f>Меню!L324</f>
        <v>0</v>
      </c>
      <c r="O31" s="246">
        <f>Меню!L230</f>
        <v>0</v>
      </c>
      <c r="P31" s="246">
        <f t="shared" si="0"/>
        <v>125</v>
      </c>
      <c r="Q31" s="193">
        <f>накопительная!S26</f>
        <v>20.833333333333332</v>
      </c>
      <c r="R31" s="192">
        <f>накопительная!T26</f>
        <v>99.7765006385696</v>
      </c>
    </row>
    <row r="32" spans="1:18" s="59" customFormat="1" ht="15.75" customHeight="1">
      <c r="A32" s="244">
        <v>23</v>
      </c>
      <c r="B32" s="323" t="s">
        <v>186</v>
      </c>
      <c r="C32" s="252">
        <v>60</v>
      </c>
      <c r="D32" s="245">
        <v>70</v>
      </c>
      <c r="E32" s="252">
        <v>60</v>
      </c>
      <c r="F32" s="246">
        <f>Меню!L1155</f>
        <v>0</v>
      </c>
      <c r="G32" s="246">
        <f>Меню!L1051</f>
        <v>0</v>
      </c>
      <c r="H32" s="246">
        <f>Меню!L993</f>
        <v>160</v>
      </c>
      <c r="I32" s="246">
        <f>Меню!L870</f>
        <v>0</v>
      </c>
      <c r="J32" s="246">
        <f>Меню!L773</f>
        <v>0</v>
      </c>
      <c r="K32" s="246">
        <f>Меню!L648</f>
        <v>0</v>
      </c>
      <c r="L32" s="246">
        <f>Меню!L570</f>
        <v>0</v>
      </c>
      <c r="M32" s="246">
        <f>Меню!L464</f>
        <v>0</v>
      </c>
      <c r="N32" s="246">
        <f>Меню!L325</f>
        <v>0</v>
      </c>
      <c r="O32" s="246">
        <f>Меню!L231</f>
        <v>159.95454545454547</v>
      </c>
      <c r="P32" s="246">
        <f t="shared" si="0"/>
        <v>319.9545454545455</v>
      </c>
      <c r="Q32" s="193">
        <f>накопительная!S27</f>
        <v>26.662878787878793</v>
      </c>
      <c r="R32" s="192">
        <f>накопительная!T27</f>
        <v>99.86096924299174</v>
      </c>
    </row>
    <row r="33" spans="1:18" s="120" customFormat="1" ht="15.75" customHeight="1">
      <c r="A33" s="244">
        <v>24</v>
      </c>
      <c r="B33" s="323" t="s">
        <v>187</v>
      </c>
      <c r="C33" s="252">
        <v>10</v>
      </c>
      <c r="D33" s="245">
        <v>80</v>
      </c>
      <c r="E33" s="252">
        <v>10</v>
      </c>
      <c r="F33" s="246">
        <f>Меню!L1156</f>
        <v>5</v>
      </c>
      <c r="G33" s="246">
        <f>Меню!L1052</f>
        <v>21.5</v>
      </c>
      <c r="H33" s="246">
        <f>Меню!L994</f>
        <v>15</v>
      </c>
      <c r="I33" s="246">
        <f>Меню!L871</f>
        <v>5</v>
      </c>
      <c r="J33" s="246">
        <f>Меню!L774</f>
        <v>0</v>
      </c>
      <c r="K33" s="246">
        <f>Меню!L649</f>
        <v>15</v>
      </c>
      <c r="L33" s="246">
        <f>Меню!L571</f>
        <v>5</v>
      </c>
      <c r="M33" s="246">
        <f>Меню!L465</f>
        <v>0</v>
      </c>
      <c r="N33" s="246">
        <f>Меню!L326</f>
        <v>15</v>
      </c>
      <c r="O33" s="246">
        <f>Меню!L232</f>
        <v>6</v>
      </c>
      <c r="P33" s="246">
        <f t="shared" si="0"/>
        <v>87.5</v>
      </c>
      <c r="Q33" s="193">
        <f>накопительная!S28</f>
        <v>9.166666666666666</v>
      </c>
      <c r="R33" s="192">
        <f>накопительная!T28</f>
        <v>99.6376811594203</v>
      </c>
    </row>
    <row r="34" spans="1:18" s="59" customFormat="1" ht="15.75" customHeight="1">
      <c r="A34" s="244">
        <v>25</v>
      </c>
      <c r="B34" s="323" t="s">
        <v>188</v>
      </c>
      <c r="C34" s="252">
        <v>15</v>
      </c>
      <c r="D34" s="245">
        <v>50</v>
      </c>
      <c r="E34" s="252">
        <v>15</v>
      </c>
      <c r="F34" s="246">
        <f>Меню!L1157</f>
        <v>15</v>
      </c>
      <c r="G34" s="246">
        <f>Меню!L1053</f>
        <v>18</v>
      </c>
      <c r="H34" s="246">
        <f>Меню!L995</f>
        <v>0</v>
      </c>
      <c r="I34" s="246">
        <f>Меню!L872</f>
        <v>0</v>
      </c>
      <c r="J34" s="246">
        <f>Меню!L775</f>
        <v>0</v>
      </c>
      <c r="K34" s="246">
        <f>Меню!L650</f>
        <v>20</v>
      </c>
      <c r="L34" s="246">
        <f>Меню!L572</f>
        <v>20</v>
      </c>
      <c r="M34" s="246">
        <f>Меню!L466</f>
        <v>5</v>
      </c>
      <c r="N34" s="246">
        <f>Меню!L327</f>
        <v>0</v>
      </c>
      <c r="O34" s="246">
        <f>Меню!L233</f>
        <v>20</v>
      </c>
      <c r="P34" s="246">
        <f t="shared" si="0"/>
        <v>98</v>
      </c>
      <c r="Q34" s="193">
        <f>накопительная!S29</f>
        <v>9.416666666666666</v>
      </c>
      <c r="R34" s="192">
        <f>накопительная!T29</f>
        <v>99.64726631393299</v>
      </c>
    </row>
    <row r="35" spans="1:18" s="120" customFormat="1" ht="15.75" customHeight="1">
      <c r="A35" s="244">
        <v>26</v>
      </c>
      <c r="B35" s="326" t="s">
        <v>33</v>
      </c>
      <c r="C35" s="252">
        <v>35</v>
      </c>
      <c r="D35" s="245">
        <v>50</v>
      </c>
      <c r="E35" s="252">
        <v>35</v>
      </c>
      <c r="F35" s="246">
        <f>Меню!L1158</f>
        <v>30</v>
      </c>
      <c r="G35" s="246">
        <f>Меню!L1054</f>
        <v>44.3</v>
      </c>
      <c r="H35" s="246">
        <f>Меню!L996</f>
        <v>35</v>
      </c>
      <c r="I35" s="246">
        <f>Меню!L873</f>
        <v>10</v>
      </c>
      <c r="J35" s="246">
        <f>Меню!L776</f>
        <v>15</v>
      </c>
      <c r="K35" s="246">
        <f>Меню!L651</f>
        <v>16</v>
      </c>
      <c r="L35" s="246">
        <f>Меню!L573</f>
        <v>20</v>
      </c>
      <c r="M35" s="246">
        <f>Меню!L467</f>
        <v>17</v>
      </c>
      <c r="N35" s="246">
        <f>Меню!L328</f>
        <v>31</v>
      </c>
      <c r="O35" s="246">
        <f>Меню!L234</f>
        <v>9.636363636363637</v>
      </c>
      <c r="P35" s="246">
        <f t="shared" si="0"/>
        <v>227.93636363636364</v>
      </c>
      <c r="Q35" s="193">
        <f>накопительная!S30</f>
        <v>22.078030303030303</v>
      </c>
      <c r="R35" s="192">
        <f>накопительная!T30</f>
        <v>100.127121555693</v>
      </c>
    </row>
    <row r="36" spans="1:18" s="59" customFormat="1" ht="15.75" customHeight="1">
      <c r="A36" s="244">
        <v>27</v>
      </c>
      <c r="B36" s="244" t="s">
        <v>34</v>
      </c>
      <c r="C36" s="252">
        <v>18</v>
      </c>
      <c r="D36" s="245">
        <v>55</v>
      </c>
      <c r="E36" s="252">
        <v>18</v>
      </c>
      <c r="F36" s="246">
        <f>Меню!L1159</f>
        <v>18</v>
      </c>
      <c r="G36" s="246">
        <f>Меню!L1055</f>
        <v>10.5</v>
      </c>
      <c r="H36" s="246">
        <f>Меню!L997</f>
        <v>11</v>
      </c>
      <c r="I36" s="246">
        <f>Меню!L874</f>
        <v>22</v>
      </c>
      <c r="J36" s="246">
        <f>Меню!L777</f>
        <v>11</v>
      </c>
      <c r="K36" s="246">
        <f>Меню!L652</f>
        <v>14.5</v>
      </c>
      <c r="L36" s="246">
        <f>Меню!L574</f>
        <v>2</v>
      </c>
      <c r="M36" s="246">
        <f>Меню!L468</f>
        <v>12.5</v>
      </c>
      <c r="N36" s="246">
        <f>Меню!L329</f>
        <v>12</v>
      </c>
      <c r="O36" s="246">
        <f>Меню!L235</f>
        <v>13</v>
      </c>
      <c r="P36" s="246">
        <f t="shared" si="0"/>
        <v>126.5</v>
      </c>
      <c r="Q36" s="193">
        <f>накопительная!S31</f>
        <v>12.541666666666666</v>
      </c>
      <c r="R36" s="192">
        <f>накопительная!T31</f>
        <v>99.53703703703702</v>
      </c>
    </row>
    <row r="37" spans="1:18" s="121" customFormat="1" ht="15.75" customHeight="1">
      <c r="A37" s="244">
        <v>28</v>
      </c>
      <c r="B37" s="244" t="s">
        <v>189</v>
      </c>
      <c r="C37" s="252">
        <v>40</v>
      </c>
      <c r="D37" s="245">
        <v>55</v>
      </c>
      <c r="E37" s="252">
        <v>40</v>
      </c>
      <c r="F37" s="246">
        <f>Меню!L1160</f>
        <v>41.2</v>
      </c>
      <c r="G37" s="246">
        <f>Меню!L1056</f>
        <v>14.5</v>
      </c>
      <c r="H37" s="246">
        <f>Меню!L998</f>
        <v>10</v>
      </c>
      <c r="I37" s="246">
        <f>Меню!L875</f>
        <v>7</v>
      </c>
      <c r="J37" s="246">
        <f>Меню!L778</f>
        <v>128</v>
      </c>
      <c r="K37" s="246">
        <f>Меню!L653</f>
        <v>14.2</v>
      </c>
      <c r="L37" s="246">
        <f>Меню!L575</f>
        <v>5.2</v>
      </c>
      <c r="M37" s="246">
        <f>Меню!L469</f>
        <v>5</v>
      </c>
      <c r="N37" s="246">
        <f>Меню!L330</f>
        <v>13</v>
      </c>
      <c r="O37" s="246">
        <f>Меню!L236</f>
        <v>6</v>
      </c>
      <c r="P37" s="246">
        <f t="shared" si="0"/>
        <v>244.09999999999997</v>
      </c>
      <c r="Q37" s="193">
        <f>накопительная!S32</f>
        <v>33.94166666666666</v>
      </c>
      <c r="R37" s="192">
        <f>накопительная!T32</f>
        <v>99.828431372549</v>
      </c>
    </row>
    <row r="38" spans="1:18" s="121" customFormat="1" ht="15.75" customHeight="1">
      <c r="A38" s="244">
        <v>29</v>
      </c>
      <c r="B38" s="244" t="s">
        <v>190</v>
      </c>
      <c r="C38" s="252">
        <v>2</v>
      </c>
      <c r="D38" s="245"/>
      <c r="E38" s="252">
        <v>2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193">
        <f>накопительная!S34</f>
        <v>1.1999999999999997</v>
      </c>
      <c r="R38" s="192">
        <f>накопительная!T34</f>
        <v>99.99999999999999</v>
      </c>
    </row>
    <row r="39" spans="1:18" s="59" customFormat="1" ht="15.75" customHeight="1">
      <c r="A39" s="244">
        <v>30</v>
      </c>
      <c r="B39" s="244" t="s">
        <v>191</v>
      </c>
      <c r="C39" s="252">
        <v>5</v>
      </c>
      <c r="D39" s="245">
        <v>50</v>
      </c>
      <c r="E39" s="252">
        <v>5</v>
      </c>
      <c r="F39" s="248">
        <v>3.5</v>
      </c>
      <c r="G39" s="248">
        <v>3.5</v>
      </c>
      <c r="H39" s="248">
        <v>3.5</v>
      </c>
      <c r="I39" s="248">
        <v>3.5</v>
      </c>
      <c r="J39" s="248">
        <v>3.5</v>
      </c>
      <c r="K39" s="248">
        <v>3.5</v>
      </c>
      <c r="L39" s="248">
        <v>3.5</v>
      </c>
      <c r="M39" s="248">
        <v>3.5</v>
      </c>
      <c r="N39" s="248">
        <v>3.5</v>
      </c>
      <c r="O39" s="248">
        <v>3.5</v>
      </c>
      <c r="P39" s="246">
        <f t="shared" si="0"/>
        <v>35</v>
      </c>
      <c r="Q39" s="193">
        <f>накопительная!S35</f>
        <v>3</v>
      </c>
      <c r="R39" s="192">
        <f>накопительная!T35</f>
        <v>100</v>
      </c>
    </row>
    <row r="40" spans="1:18" ht="46.5" customHeight="1">
      <c r="A40" s="593" t="s">
        <v>222</v>
      </c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</row>
    <row r="41" spans="6:17" ht="12.75"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</sheetData>
  <sheetProtection password="CF52" sheet="1"/>
  <mergeCells count="11">
    <mergeCell ref="P7:P9"/>
    <mergeCell ref="Q7:Q9"/>
    <mergeCell ref="R7:R9"/>
    <mergeCell ref="F8:O8"/>
    <mergeCell ref="A40:R40"/>
    <mergeCell ref="A6:R6"/>
    <mergeCell ref="A7:A9"/>
    <mergeCell ref="B7:B9"/>
    <mergeCell ref="C7:C9"/>
    <mergeCell ref="E7:E9"/>
    <mergeCell ref="F7:O7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7" width="9.140625" style="9" customWidth="1"/>
    <col min="8" max="8" width="18.421875" style="9" customWidth="1"/>
    <col min="9" max="9" width="9.140625" style="9" customWidth="1"/>
  </cols>
  <sheetData>
    <row r="7" spans="1:9" ht="56.25" customHeight="1">
      <c r="A7" s="514" t="s">
        <v>212</v>
      </c>
      <c r="B7" s="520"/>
      <c r="C7" s="520"/>
      <c r="D7" s="520"/>
      <c r="E7" s="137">
        <f>Меню!E590</f>
        <v>52.42555555555555</v>
      </c>
      <c r="F7" s="137">
        <f>Меню!F590</f>
        <v>52.32555555555556</v>
      </c>
      <c r="G7" s="137">
        <f>Меню!G590</f>
        <v>213.44833333333335</v>
      </c>
      <c r="H7" s="137">
        <f>Меню!H590</f>
        <v>1531.4194444444445</v>
      </c>
      <c r="I7" s="595" t="s">
        <v>213</v>
      </c>
    </row>
    <row r="8" spans="1:9" ht="59.25" customHeight="1">
      <c r="A8" s="598" t="s">
        <v>214</v>
      </c>
      <c r="B8" s="520"/>
      <c r="C8" s="520"/>
      <c r="D8" s="520"/>
      <c r="E8" s="327" t="s">
        <v>215</v>
      </c>
      <c r="F8" s="327" t="s">
        <v>216</v>
      </c>
      <c r="G8" s="327" t="s">
        <v>217</v>
      </c>
      <c r="H8" s="327" t="s">
        <v>218</v>
      </c>
      <c r="I8" s="596"/>
    </row>
    <row r="9" spans="1:9" ht="57" customHeight="1">
      <c r="A9" s="514" t="s">
        <v>219</v>
      </c>
      <c r="B9" s="520"/>
      <c r="C9" s="520"/>
      <c r="D9" s="520"/>
      <c r="E9" s="137">
        <v>90</v>
      </c>
      <c r="F9" s="137">
        <v>92</v>
      </c>
      <c r="G9" s="137">
        <v>383</v>
      </c>
      <c r="H9" s="137">
        <v>2720</v>
      </c>
      <c r="I9" s="597"/>
    </row>
    <row r="11" ht="6.75" customHeight="1"/>
    <row r="12" ht="12.75" hidden="1"/>
    <row r="13" ht="12.75" hidden="1"/>
    <row r="14" spans="1:9" ht="66" customHeight="1">
      <c r="A14" s="514" t="s">
        <v>212</v>
      </c>
      <c r="B14" s="520"/>
      <c r="C14" s="520"/>
      <c r="D14" s="520"/>
      <c r="E14" s="137">
        <f>Меню!E1214</f>
        <v>50.699444444444445</v>
      </c>
      <c r="F14" s="137">
        <f>Меню!F1214</f>
        <v>50.87916666666666</v>
      </c>
      <c r="G14" s="137">
        <f>Меню!G1214</f>
        <v>209.95015873015873</v>
      </c>
      <c r="H14" s="137">
        <f>Меню!H1214</f>
        <v>1498.9598015873016</v>
      </c>
      <c r="I14" s="595" t="s">
        <v>213</v>
      </c>
    </row>
    <row r="15" spans="1:9" ht="43.5" customHeight="1">
      <c r="A15" s="598" t="s">
        <v>214</v>
      </c>
      <c r="B15" s="520"/>
      <c r="C15" s="520"/>
      <c r="D15" s="520"/>
      <c r="E15" s="327" t="s">
        <v>215</v>
      </c>
      <c r="F15" s="327" t="s">
        <v>216</v>
      </c>
      <c r="G15" s="327" t="s">
        <v>217</v>
      </c>
      <c r="H15" s="327" t="s">
        <v>218</v>
      </c>
      <c r="I15" s="596"/>
    </row>
    <row r="16" spans="1:9" ht="56.25" customHeight="1">
      <c r="A16" s="514" t="s">
        <v>219</v>
      </c>
      <c r="B16" s="520"/>
      <c r="C16" s="520"/>
      <c r="D16" s="520"/>
      <c r="E16" s="137">
        <v>90</v>
      </c>
      <c r="F16" s="137">
        <v>92</v>
      </c>
      <c r="G16" s="137">
        <v>383</v>
      </c>
      <c r="H16" s="137">
        <v>2720</v>
      </c>
      <c r="I16" s="597"/>
    </row>
  </sheetData>
  <sheetProtection password="CF52" sheet="1"/>
  <mergeCells count="8">
    <mergeCell ref="A7:D7"/>
    <mergeCell ref="I7:I9"/>
    <mergeCell ref="A8:D8"/>
    <mergeCell ref="A9:D9"/>
    <mergeCell ref="A14:D14"/>
    <mergeCell ref="I14:I16"/>
    <mergeCell ref="A15:D15"/>
    <mergeCell ref="A16:D1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2022-07-15T07:57:56Z</cp:lastPrinted>
  <dcterms:created xsi:type="dcterms:W3CDTF">1996-10-08T23:32:33Z</dcterms:created>
  <dcterms:modified xsi:type="dcterms:W3CDTF">2022-08-05T08:51:54Z</dcterms:modified>
  <cp:category/>
  <cp:version/>
  <cp:contentType/>
  <cp:contentStatus/>
</cp:coreProperties>
</file>