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11640" activeTab="0"/>
  </bookViews>
  <sheets>
    <sheet name="Меню" sheetId="1" r:id="rId1"/>
    <sheet name="накопительная" sheetId="2" r:id="rId2"/>
    <sheet name="Ценность " sheetId="3" r:id="rId3"/>
    <sheet name="объемы блюд" sheetId="4" r:id="rId4"/>
    <sheet name="проверка" sheetId="5" r:id="rId5"/>
    <sheet name="рацион питания" sheetId="6" r:id="rId6"/>
    <sheet name="сетка" sheetId="7" r:id="rId7"/>
  </sheets>
  <definedNames>
    <definedName name="_xlnm._FilterDatabase" localSheetId="0" hidden="1">'Меню'!$A$1:$A$1215</definedName>
  </definedNames>
  <calcPr fullCalcOnLoad="1"/>
</workbook>
</file>

<file path=xl/sharedStrings.xml><?xml version="1.0" encoding="utf-8"?>
<sst xmlns="http://schemas.openxmlformats.org/spreadsheetml/2006/main" count="2039" uniqueCount="517">
  <si>
    <t>Наименование блюда</t>
  </si>
  <si>
    <t>Белки, г</t>
  </si>
  <si>
    <t>Жиры, г</t>
  </si>
  <si>
    <t>ЭЦ, ккал</t>
  </si>
  <si>
    <t>сахар</t>
  </si>
  <si>
    <t>Химический состав</t>
  </si>
  <si>
    <t>Брутто, г</t>
  </si>
  <si>
    <t>Нетто, г</t>
  </si>
  <si>
    <t>Выход, г</t>
  </si>
  <si>
    <t>Угл. г</t>
  </si>
  <si>
    <t>хлеб пшеничный</t>
  </si>
  <si>
    <t>масло растительное</t>
  </si>
  <si>
    <t>картофель - 01.09.-31.10.- 25%</t>
  </si>
  <si>
    <t>01.11.-31.12. -30%</t>
  </si>
  <si>
    <t>01.01-29.02 - 35%</t>
  </si>
  <si>
    <t>01.03 - 40%</t>
  </si>
  <si>
    <t>с 01.01 - 25%</t>
  </si>
  <si>
    <t>свекла до 01.01 -20%</t>
  </si>
  <si>
    <t>лук репчатый</t>
  </si>
  <si>
    <t>масло сливочное</t>
  </si>
  <si>
    <t>Хлеб пшеничный</t>
  </si>
  <si>
    <t>мука пшеничная</t>
  </si>
  <si>
    <t>сухари</t>
  </si>
  <si>
    <t>крупа рисовая</t>
  </si>
  <si>
    <t>ИТОГО:</t>
  </si>
  <si>
    <t>творог</t>
  </si>
  <si>
    <t>Хлеб ржаной</t>
  </si>
  <si>
    <t>Картофель</t>
  </si>
  <si>
    <t>Фрукты свежие</t>
  </si>
  <si>
    <t>Кондитерские изделия</t>
  </si>
  <si>
    <t>Чай</t>
  </si>
  <si>
    <t>Сметана</t>
  </si>
  <si>
    <t>Масло сливочное</t>
  </si>
  <si>
    <t>Масло растительное</t>
  </si>
  <si>
    <t>№</t>
  </si>
  <si>
    <t>% выполнения</t>
  </si>
  <si>
    <t>Дни</t>
  </si>
  <si>
    <t>масло сливочное на полив</t>
  </si>
  <si>
    <t>или молоко концентрированное</t>
  </si>
  <si>
    <t>или молоко сухое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</si>
  <si>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</si>
  <si>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</si>
  <si>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</si>
  <si>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</si>
  <si>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</si>
  <si>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</si>
  <si>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</si>
  <si>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</si>
  <si>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</si>
  <si>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</si>
  <si>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горошек зеленый консервированный (после термической обработки)</t>
  </si>
  <si>
    <t>Фактически получено, г</t>
  </si>
  <si>
    <t>молоко питьевое</t>
  </si>
  <si>
    <t>соль йодированная</t>
  </si>
  <si>
    <t>томатное пюре (без искусственных ароматизаторов, красителей и консервантов)</t>
  </si>
  <si>
    <t>какао - порошок</t>
  </si>
  <si>
    <t>капуста белокочанная свежая</t>
  </si>
  <si>
    <t>сметана</t>
  </si>
  <si>
    <t>ОБЕД</t>
  </si>
  <si>
    <t>крупа манная</t>
  </si>
  <si>
    <t>горох лущёный</t>
  </si>
  <si>
    <t>морковь до 01.01.-20%</t>
  </si>
  <si>
    <t>или мука пшеничная</t>
  </si>
  <si>
    <t>вода питьевая</t>
  </si>
  <si>
    <t>Обед</t>
  </si>
  <si>
    <t>250/10</t>
  </si>
  <si>
    <t>Макаронные изделия</t>
  </si>
  <si>
    <t>Крупы, бобовые</t>
  </si>
  <si>
    <t>250/20/10</t>
  </si>
  <si>
    <t xml:space="preserve"> 1 день</t>
  </si>
  <si>
    <t>ИЛИ</t>
  </si>
  <si>
    <t>Дрожжи хлебопекарные</t>
  </si>
  <si>
    <t>итого в среднем за день</t>
  </si>
  <si>
    <t>зелень сушеная (петрушка, укроп)</t>
  </si>
  <si>
    <t>курага</t>
  </si>
  <si>
    <t>или хлеб витаминизированный</t>
  </si>
  <si>
    <t>или помидоры свежие парниковые</t>
  </si>
  <si>
    <t>шиповник</t>
  </si>
  <si>
    <t>вода  кипяченая для концентрированного молока</t>
  </si>
  <si>
    <t>вода  кипяченая для сухого молока</t>
  </si>
  <si>
    <t>крупа гречневая</t>
  </si>
  <si>
    <t>ИТОГО</t>
  </si>
  <si>
    <t>Молоко</t>
  </si>
  <si>
    <t>молоко сгущенное с сахаром</t>
  </si>
  <si>
    <t>Факт в день, г</t>
  </si>
  <si>
    <t>минтай потрошенный обезглавленный (филе с кожей без костей)</t>
  </si>
  <si>
    <t>яйцо куриное</t>
  </si>
  <si>
    <t>или ряпушка неразделанная</t>
  </si>
  <si>
    <t>говядина 1 категории</t>
  </si>
  <si>
    <t>или говядина полуфабрикат</t>
  </si>
  <si>
    <t>Количество продуктов в г, мл, нетто*</t>
  </si>
  <si>
    <t>масса готовой запеканки</t>
  </si>
  <si>
    <t>масса тушеного филе</t>
  </si>
  <si>
    <t>печень говяжья</t>
  </si>
  <si>
    <t>% процент</t>
  </si>
  <si>
    <t>Суточная потребность СанПиН 2.4.5.2409-08 (2350 ккал)</t>
  </si>
  <si>
    <t>Фрукты в ассортименте</t>
  </si>
  <si>
    <t>или лапша промышленного производства</t>
  </si>
  <si>
    <t>сыр</t>
  </si>
  <si>
    <t>масса тушенного мяса</t>
  </si>
  <si>
    <t>помидоры свежие парниковые</t>
  </si>
  <si>
    <t>или помидоры свежие  грунтовые</t>
  </si>
  <si>
    <t>масло сливочное для смазки листа</t>
  </si>
  <si>
    <t>УТВЕРЖДЕНО:</t>
  </si>
  <si>
    <t>Наименование продуктов</t>
  </si>
  <si>
    <t>Норма продуктов в день на 1 ребенка в г, мл (нетто) при двухразовом питании (обед, полдник) в течении 10 дней</t>
  </si>
  <si>
    <t>УТВЕРЖДАЮ:</t>
  </si>
  <si>
    <t>11 день</t>
  </si>
  <si>
    <t>12 день</t>
  </si>
  <si>
    <t>ЗАВТРАК</t>
  </si>
  <si>
    <t>Завтрак</t>
  </si>
  <si>
    <t>кофейный напиток</t>
  </si>
  <si>
    <t>огурцы консервированные без уксуса</t>
  </si>
  <si>
    <t>курица потрошеная 1 категории охлажденная (разделка на мякоть без кожи)</t>
  </si>
  <si>
    <t>чай-заварка</t>
  </si>
  <si>
    <t>или помидоры консервированные без уксуса</t>
  </si>
  <si>
    <t>или огурцы свежие парниковые</t>
  </si>
  <si>
    <t>масса готового омлета</t>
  </si>
  <si>
    <t>или кукуруза консервированная (после термической обработки)</t>
  </si>
  <si>
    <t>вишня</t>
  </si>
  <si>
    <t>чеснок свежий</t>
  </si>
  <si>
    <t>20/20</t>
  </si>
  <si>
    <t xml:space="preserve">сыр </t>
  </si>
  <si>
    <t xml:space="preserve">масло растительное  </t>
  </si>
  <si>
    <t>крупа (перловая, или рисовая)</t>
  </si>
  <si>
    <t>сухофрукты</t>
  </si>
  <si>
    <t>за 12 дней, г</t>
  </si>
  <si>
    <t>курица потрошеная 1 категории охлажденная</t>
  </si>
  <si>
    <t>или грудка куриная  охлажденная (разделка на мякоть без кожи)</t>
  </si>
  <si>
    <t>или филе куриное охлажденное промышленного производства</t>
  </si>
  <si>
    <t xml:space="preserve">или филе куриное охлажденное промышленного производства </t>
  </si>
  <si>
    <t xml:space="preserve">Хлеб пшеничный </t>
  </si>
  <si>
    <t>сельдь слабого посола (пресервы)</t>
  </si>
  <si>
    <t>батон</t>
  </si>
  <si>
    <t>250/5/15</t>
  </si>
  <si>
    <t>250/15</t>
  </si>
  <si>
    <t>250/15/5</t>
  </si>
  <si>
    <t>20-25%</t>
  </si>
  <si>
    <t>470-588</t>
  </si>
  <si>
    <t>30-35%</t>
  </si>
  <si>
    <t>705-823</t>
  </si>
  <si>
    <t>лимон</t>
  </si>
  <si>
    <t>200/7</t>
  </si>
  <si>
    <t>мука пшеничная на подпыл</t>
  </si>
  <si>
    <t>ванилин</t>
  </si>
  <si>
    <t>апельсины</t>
  </si>
  <si>
    <t>фрикадельки</t>
  </si>
  <si>
    <t>250/35</t>
  </si>
  <si>
    <t xml:space="preserve">горошек зеленый консервированный </t>
  </si>
  <si>
    <t>или горбуша или кета потрошенная с головой (филе с кожей без костей)</t>
  </si>
  <si>
    <t>или горбуша или кета неразделанная (филе с кожей без костей)</t>
  </si>
  <si>
    <t>или горбуша или кета неразделанная (филе без кожи и костей)</t>
  </si>
  <si>
    <t>отвар картофельный</t>
  </si>
  <si>
    <t>масса припущенного с маслом лука</t>
  </si>
  <si>
    <t>крупа пшено</t>
  </si>
  <si>
    <t>вода кипяченая для  восстановления молока концентрированного</t>
  </si>
  <si>
    <t>вода кипяченая для  восстановления молока сухого</t>
  </si>
  <si>
    <t xml:space="preserve">или грудка куриная  охлажденная </t>
  </si>
  <si>
    <t>250/10/5</t>
  </si>
  <si>
    <t>50-60%</t>
  </si>
  <si>
    <t>Количество продуктов в г, мл, нетто при двухразовом питании (завтрак, обед)</t>
  </si>
  <si>
    <t xml:space="preserve">Мука пшеничная </t>
  </si>
  <si>
    <t>Норма продуктов в день на 1 ребенка в г, мл (нетто) при двухразовом питании (завтрак, обед)*</t>
  </si>
  <si>
    <t>Количество продуктов в день на 1 ребенка в г, мл (нетто) при двухразовом питании (завтрак, обед) в течение 12 дней</t>
  </si>
  <si>
    <t>1175-1410</t>
  </si>
  <si>
    <t>яблоки свежие (с удаленным семенным гнездом)</t>
  </si>
  <si>
    <t>яблоки свежие (очищенные от кожицы с удаленным семенным гнездом)</t>
  </si>
  <si>
    <t>масло растительное для смазки листа</t>
  </si>
  <si>
    <t>фасоль консервированная в собственном соку</t>
  </si>
  <si>
    <t>30/10</t>
  </si>
  <si>
    <t>20/10</t>
  </si>
  <si>
    <t>масса свеклы вареной очищенной</t>
  </si>
  <si>
    <t>мука пшеничная или сухари</t>
  </si>
  <si>
    <t>огурцы свежие грунтовые</t>
  </si>
  <si>
    <t>клюква свежемороженая</t>
  </si>
  <si>
    <t>урюк</t>
  </si>
  <si>
    <r>
      <t xml:space="preserve">Овощи (свежие, мороженные, консервированные), включая соленые и квашеные </t>
    </r>
    <r>
      <rPr>
        <sz val="6"/>
        <rFont val="Arial"/>
        <family val="2"/>
      </rPr>
      <t>(не более 10% от общего количества овощей), в т.ч. томат-пюре, зелень</t>
    </r>
  </si>
  <si>
    <t>Сухофрукты</t>
  </si>
  <si>
    <r>
      <t xml:space="preserve">Сахар </t>
    </r>
    <r>
      <rPr>
        <sz val="6"/>
        <rFont val="Arial"/>
        <family val="2"/>
      </rPr>
      <t>(в т.ч. для приготовления блюд и напитков, в случае использования пищевой продукции промышленного выпуска, содержащих сахар, выдача сахара должна быть уменьшена в зависимости от его содержания в используемой готовой пищевой продукции)</t>
    </r>
  </si>
  <si>
    <t>Мясо 1-й категории</t>
  </si>
  <si>
    <t>Субпродукты (печень, язык, сердце)</t>
  </si>
  <si>
    <t>Птица (цыплята-бройлеры потрошенные - 1 кат.)</t>
  </si>
  <si>
    <t xml:space="preserve">Рыба (филе), в т.ч. филе слабо или малосоленое </t>
  </si>
  <si>
    <t>Кисломолочная пищевая продукция</t>
  </si>
  <si>
    <t>Творог (5%-9% м.д.ж.)</t>
  </si>
  <si>
    <t>Сыр</t>
  </si>
  <si>
    <t xml:space="preserve">Яйцо </t>
  </si>
  <si>
    <t>Специи</t>
  </si>
  <si>
    <t>Соль пищевая повареная йодированная</t>
  </si>
  <si>
    <t>Какао-порошок</t>
  </si>
  <si>
    <t>Кофейный порошок</t>
  </si>
  <si>
    <t>ИТОГО в среднем за неделю</t>
  </si>
  <si>
    <t>НОРМА ПИЩЕВЫХ ВЕЩЕСТВ И ЭНЕРГИИ ЗА НЕДЕЛЮ (50-60%):</t>
  </si>
  <si>
    <t>39-46</t>
  </si>
  <si>
    <t>40-47</t>
  </si>
  <si>
    <t>168-201</t>
  </si>
  <si>
    <t>ИТОГО ПОТРЕБЛЕНИЕ ПИЩЕВЫХ ВЕЩЕСТВ ЗА НЕДЕЛЮ:</t>
  </si>
  <si>
    <t>С 1 по 6 день</t>
  </si>
  <si>
    <t>С 7 по 12 день</t>
  </si>
  <si>
    <t>№ рецептуры</t>
  </si>
  <si>
    <t xml:space="preserve">*Приложение 10, Таблица 1  "Потребность в пищевых веществах, энергии, витаминах и минеральных веществ (суточная)" СанПиН 2.3/2.4.3590-20 "Санитарно- эпидемиологические требования к организации общественного питания населения" </t>
  </si>
  <si>
    <t>Суммарные объемы блюд по приемам пищи для детей с 7 до 11 лет (не менее)</t>
  </si>
  <si>
    <t>Приложение №9, таблица 3 
к СанПиН 2.3/2.4.3590-20</t>
  </si>
  <si>
    <t>Завтрак, грамм</t>
  </si>
  <si>
    <t>Обед, грамм</t>
  </si>
  <si>
    <t>500</t>
  </si>
  <si>
    <t>700</t>
  </si>
  <si>
    <t>Меню приготавливаемых блюд 
завтрак, обед</t>
  </si>
  <si>
    <t>Возрастная категория: с 7 до 11 лет</t>
  </si>
  <si>
    <t>* Нормы питания в соответствии СанПиН 2.3/2.4.3590-20 "Санитарно- эпидемиологические требования к организации общественного питания населения", Приложение 7, Таблица 2 "Среднесуточные наборы пищевой  продукции для организации питания детей от 7 до 18 лет (в нетто г., мл. на 1 ребенка в сутки)"</t>
  </si>
  <si>
    <r>
      <t xml:space="preserve">Овощи (свежие, мороженные, консервированные), включая соленые и квашеные </t>
    </r>
    <r>
      <rPr>
        <sz val="6"/>
        <rFont val="Arial"/>
        <family val="2"/>
      </rPr>
      <t>(не более 10% от общего количества овощей), в т.ч. томат-пюре, зелень</t>
    </r>
  </si>
  <si>
    <r>
      <t xml:space="preserve">Сахар </t>
    </r>
    <r>
      <rPr>
        <sz val="6"/>
        <rFont val="Arial"/>
        <family val="2"/>
      </rPr>
      <t>(в т.ч. для приготовления блюд и напитков, в случае использования пищевой продукции промышленного выпуска, содержащих сахар, выдача сахара должна быть уменьшена в зависимости от его содержания в используемой готовой пищевой продукции)</t>
    </r>
  </si>
  <si>
    <t>Рацион питания детей в возрасте с 7 до 11 лет</t>
  </si>
  <si>
    <t xml:space="preserve">Распределение энергетической ценности  (калорийности) на отдельные приемы пищи для детей (с 7 до 11 лет)                                                                            </t>
  </si>
  <si>
    <t>№311-2004</t>
  </si>
  <si>
    <t>№458-2006, Москва</t>
  </si>
  <si>
    <t xml:space="preserve">Каша "Янтарная" из пшена с яблоками  </t>
  </si>
  <si>
    <t>№269-2013, Пермь</t>
  </si>
  <si>
    <t>масса каши</t>
  </si>
  <si>
    <t>для сиропа:</t>
  </si>
  <si>
    <t>яблоки свежие (с удаленным семенным гнездом, очищенные от кожицы)</t>
  </si>
  <si>
    <t>масса яблок, припущенных с сиропом</t>
  </si>
  <si>
    <t>№70-2006, Москва</t>
  </si>
  <si>
    <t xml:space="preserve">№124-2004    </t>
  </si>
  <si>
    <t xml:space="preserve">Гуляш </t>
  </si>
  <si>
    <t>№152-2004, Пермь</t>
  </si>
  <si>
    <t xml:space="preserve">Макаронные изделия отварные </t>
  </si>
  <si>
    <t>№516-2004</t>
  </si>
  <si>
    <t>№2/10-2011, Екатеринбург</t>
  </si>
  <si>
    <t xml:space="preserve">Сок в ассортименте </t>
  </si>
  <si>
    <t>№518-2013, Пермь</t>
  </si>
  <si>
    <t xml:space="preserve">фрикадельки мясные </t>
  </si>
  <si>
    <t>№112-2004</t>
  </si>
  <si>
    <t>Овощи свежие или консервированные (помидоры)</t>
  </si>
  <si>
    <t xml:space="preserve"> №15/1-2011г, Екатеринбург</t>
  </si>
  <si>
    <t>№443-2004</t>
  </si>
  <si>
    <t xml:space="preserve">Чай с сахаром </t>
  </si>
  <si>
    <t>№685-2004</t>
  </si>
  <si>
    <t>№451-2004</t>
  </si>
  <si>
    <t xml:space="preserve">Котлеты из мяса с маслом </t>
  </si>
  <si>
    <t>90/5</t>
  </si>
  <si>
    <t xml:space="preserve">молоко питьевое </t>
  </si>
  <si>
    <t>Биточки из мяса с маслом</t>
  </si>
  <si>
    <t>Шницель из мяса с маслом</t>
  </si>
  <si>
    <t xml:space="preserve">Пюре картофельное </t>
  </si>
  <si>
    <t>№520-2004</t>
  </si>
  <si>
    <t xml:space="preserve">Компот из урюка </t>
  </si>
  <si>
    <t>№638-2004</t>
  </si>
  <si>
    <t xml:space="preserve">Бутерброд с маслом </t>
  </si>
  <si>
    <t>№1-2004</t>
  </si>
  <si>
    <t xml:space="preserve">Чай с лимоном </t>
  </si>
  <si>
    <t>№686-2004</t>
  </si>
  <si>
    <t>№698-2004</t>
  </si>
  <si>
    <t xml:space="preserve">Салат из капусты белокочанной с морковью </t>
  </si>
  <si>
    <t>№4-2013, Пермь</t>
  </si>
  <si>
    <t>капуста свежая белокочанная</t>
  </si>
  <si>
    <t xml:space="preserve">кислота лимонная </t>
  </si>
  <si>
    <t>вода для разведения лимонной кислоты</t>
  </si>
  <si>
    <t xml:space="preserve">Рассольник Ленинградский  с мясом и сметаной </t>
  </si>
  <si>
    <t>№129-1996</t>
  </si>
  <si>
    <t xml:space="preserve">Рыба запечённая с маслом </t>
  </si>
  <si>
    <t>№310-1996</t>
  </si>
  <si>
    <t xml:space="preserve">Компот из яблок и апельсин  </t>
  </si>
  <si>
    <t>№251-2001, Пермь</t>
  </si>
  <si>
    <t xml:space="preserve">Овощи свежие (огурцы) </t>
  </si>
  <si>
    <t>90/50</t>
  </si>
  <si>
    <t xml:space="preserve">Каша гречневая вязкая </t>
  </si>
  <si>
    <t>№302-2004</t>
  </si>
  <si>
    <t xml:space="preserve">Кофейный напиток </t>
  </si>
  <si>
    <t>№253-2004, Пермь</t>
  </si>
  <si>
    <t xml:space="preserve">Салат "Несвижский" </t>
  </si>
  <si>
    <t>№63-2004</t>
  </si>
  <si>
    <t>зелень свежая (петрушка, укроп)</t>
  </si>
  <si>
    <t>чеснок</t>
  </si>
  <si>
    <t>Капуста тушённая</t>
  </si>
  <si>
    <t>№534-2004</t>
  </si>
  <si>
    <t xml:space="preserve">Компот из кураги </t>
  </si>
  <si>
    <t>№284-1996</t>
  </si>
  <si>
    <t>Овощи на подгарнировку</t>
  </si>
  <si>
    <t xml:space="preserve">Омлет натуральный с маслом  с подгарнировкой </t>
  </si>
  <si>
    <t>№244-2006,Москва</t>
  </si>
  <si>
    <t>или помидоры свежие грунтовые</t>
  </si>
  <si>
    <t xml:space="preserve">Суп картофельный с рыбными фрикадельками </t>
  </si>
  <si>
    <t>№41-2001, Пермь</t>
  </si>
  <si>
    <t xml:space="preserve">Плов из говядины </t>
  </si>
  <si>
    <t>Салат картофельный с зеленым горошком</t>
  </si>
  <si>
    <t>№65-2013, Пермь</t>
  </si>
  <si>
    <t>масса отварного картофеля</t>
  </si>
  <si>
    <t xml:space="preserve">Компот из свежемороженой смородины  </t>
  </si>
  <si>
    <t>№357-2002</t>
  </si>
  <si>
    <t xml:space="preserve">Бутерброд с сыром </t>
  </si>
  <si>
    <t>№3-2004</t>
  </si>
  <si>
    <t xml:space="preserve">Салат из свеклы отварной с огурцами </t>
  </si>
  <si>
    <t>№21-2001, Пермь</t>
  </si>
  <si>
    <t>№148-2004</t>
  </si>
  <si>
    <t xml:space="preserve">ИЛИ Суп-лапша домашняя, с мясными фрикадельками </t>
  </si>
  <si>
    <t xml:space="preserve">лапша домашняя </t>
  </si>
  <si>
    <t>№549-2004</t>
  </si>
  <si>
    <t xml:space="preserve">Овощи тушеные в соусе </t>
  </si>
  <si>
    <t>№18/3-2011, Екатеринбург</t>
  </si>
  <si>
    <t xml:space="preserve">Компот из сухофруктов </t>
  </si>
  <si>
    <t xml:space="preserve">Бутерброд горячий с сыром </t>
  </si>
  <si>
    <t>№10-2004</t>
  </si>
  <si>
    <t xml:space="preserve">Овощи свежие (помидоры, огурцы) </t>
  </si>
  <si>
    <t>№14/1, 15/1-2011, Екатеринбург</t>
  </si>
  <si>
    <t xml:space="preserve">Свекольник с мясными фрикадельками, со сметаной </t>
  </si>
  <si>
    <t>№34-2004, Пермь</t>
  </si>
  <si>
    <t xml:space="preserve">Рис отварной </t>
  </si>
  <si>
    <t>№511-2004</t>
  </si>
  <si>
    <t xml:space="preserve">Напиток из плодов шиповника </t>
  </si>
  <si>
    <t>№705-2004</t>
  </si>
  <si>
    <t xml:space="preserve">Салат из консервированного огурца с луком </t>
  </si>
  <si>
    <t>№17-2004</t>
  </si>
  <si>
    <t xml:space="preserve">Суп гороховый с гренками и мясом </t>
  </si>
  <si>
    <t>№139-2004</t>
  </si>
  <si>
    <t xml:space="preserve">Рыба, тушеная в томате с овощами </t>
  </si>
  <si>
    <t>№343-2013, Пермь</t>
  </si>
  <si>
    <t xml:space="preserve">Компот из свежемороженой вишни  </t>
  </si>
  <si>
    <t xml:space="preserve"> №208-2013, Пермь</t>
  </si>
  <si>
    <t xml:space="preserve">Картофель толченый по деревенски </t>
  </si>
  <si>
    <t xml:space="preserve">Суп-лапша домашняя, с курицей </t>
  </si>
  <si>
    <t xml:space="preserve">Запеканка из творога со сгущённым молоком </t>
  </si>
  <si>
    <t>№366-2004</t>
  </si>
  <si>
    <t xml:space="preserve">Жаркое из птицы </t>
  </si>
  <si>
    <t>№446-1996</t>
  </si>
  <si>
    <t xml:space="preserve">Жаркое по - домашнему </t>
  </si>
  <si>
    <t>№436-2004</t>
  </si>
  <si>
    <t xml:space="preserve">Борщ из свежей капусты с картофелем, со сметаной, с  мясными фрикадельками </t>
  </si>
  <si>
    <t>№110-2004</t>
  </si>
  <si>
    <t xml:space="preserve">Картофель тушеный  </t>
  </si>
  <si>
    <t>№216-2004</t>
  </si>
  <si>
    <t xml:space="preserve">Бутерброд с джемом или повидлом </t>
  </si>
  <si>
    <t>№2-2004</t>
  </si>
  <si>
    <t>джем или повидло (без искусственных ароматизаторов, консервантов и красителей)</t>
  </si>
  <si>
    <t>масса отварной свеклы</t>
  </si>
  <si>
    <t xml:space="preserve">Винегрет овощной </t>
  </si>
  <si>
    <t>№71-2004</t>
  </si>
  <si>
    <t>масса отварной моркови</t>
  </si>
  <si>
    <t>Соки плодоовощные, напитки витаминизированные, в т.ч. Инстантные</t>
  </si>
  <si>
    <t xml:space="preserve">Каша "Дружба" </t>
  </si>
  <si>
    <t>№93-2001, Пермь</t>
  </si>
  <si>
    <t>крупа пшенная</t>
  </si>
  <si>
    <t xml:space="preserve">Компот из свежих яблок с ягодами </t>
  </si>
  <si>
    <t>Салат "Полонынский"</t>
  </si>
  <si>
    <t xml:space="preserve"> №24-2004</t>
  </si>
  <si>
    <t>огурцы свежие парниковые</t>
  </si>
  <si>
    <t>или огурцы свежие грунтовые</t>
  </si>
  <si>
    <t>перец свежий</t>
  </si>
  <si>
    <t>лимонная кислота</t>
  </si>
  <si>
    <t>Кисель из свежих ягод</t>
  </si>
  <si>
    <t>№505-2013, Пермь</t>
  </si>
  <si>
    <t>крахмал</t>
  </si>
  <si>
    <t>Крахмал</t>
  </si>
  <si>
    <t xml:space="preserve">Салат из свежих помидоров </t>
  </si>
  <si>
    <t>№22-2013, Пермь</t>
  </si>
  <si>
    <t>фасоль зеленая стручковая замороженная</t>
  </si>
  <si>
    <t>№151-2013, Пермь</t>
  </si>
  <si>
    <t>или горбуша или кета потрошенная с головой (филе без кожи и костей)</t>
  </si>
  <si>
    <t>масса вареной рыбы</t>
  </si>
  <si>
    <t xml:space="preserve">Пюре картофельное с подгарнировкой (помидоры, огурцы) </t>
  </si>
  <si>
    <t>Пюре картофельное</t>
  </si>
  <si>
    <t>или кабачки свежие</t>
  </si>
  <si>
    <t>или перец свежий</t>
  </si>
  <si>
    <t>14/1-2011, Екатеринбург</t>
  </si>
  <si>
    <t xml:space="preserve"> огурцы свежие грунтовые</t>
  </si>
  <si>
    <t xml:space="preserve">курица потрошеная 1 категории охлажденная </t>
  </si>
  <si>
    <t>№444-2013, Пермь</t>
  </si>
  <si>
    <t xml:space="preserve">сметана </t>
  </si>
  <si>
    <t>или горошек зеленый свежемороженый</t>
  </si>
  <si>
    <t>или смородина свежемороженая</t>
  </si>
  <si>
    <t>или брусника свежемороженая</t>
  </si>
  <si>
    <t>вишня свежемороженая</t>
  </si>
  <si>
    <t>или овощная смесь свежемороженая</t>
  </si>
  <si>
    <t>смородина  свежемороженая</t>
  </si>
  <si>
    <t>или перец свежемороженый</t>
  </si>
  <si>
    <r>
      <t>Соки плодоовощные,</t>
    </r>
    <r>
      <rPr>
        <sz val="6"/>
        <rFont val="Arial"/>
        <family val="2"/>
      </rPr>
      <t xml:space="preserve"> напитки витаминизированные, в т.ч. инстантные</t>
    </r>
  </si>
  <si>
    <t>№524-2004</t>
  </si>
  <si>
    <t xml:space="preserve">Овощи свежемороженые припущенные </t>
  </si>
  <si>
    <t>Йогурт в ассортименте</t>
  </si>
  <si>
    <t>лук репчатый использовать только до 1 марта, после 1 марта  лук репчатый исключить и увеличить закладку других овощей до необходимого выхода блюда</t>
  </si>
  <si>
    <t>Салат картофельный с кукурузой и морковью</t>
  </si>
  <si>
    <t>№73-2013, Пермь</t>
  </si>
  <si>
    <t>кукуруза  консервированная (после термической обработки)</t>
  </si>
  <si>
    <t>морковь до 01.01 - 20%</t>
  </si>
  <si>
    <t>Овощи свежие или консервированные (помидоры) на подгарнировку</t>
  </si>
  <si>
    <t xml:space="preserve">Салат из белокочанной капусты с огурцами свежими </t>
  </si>
  <si>
    <t>№5-2013, Пермь</t>
  </si>
  <si>
    <t>масса капусты, стертой с солью</t>
  </si>
  <si>
    <t xml:space="preserve"> огурцы свежие парниковые</t>
  </si>
  <si>
    <t xml:space="preserve"> 8 день</t>
  </si>
  <si>
    <t xml:space="preserve">9 день </t>
  </si>
  <si>
    <t xml:space="preserve"> 12 день</t>
  </si>
  <si>
    <t>Уха рыбацкая</t>
  </si>
  <si>
    <t>Меню содержит обязательные вложения - титульный лист, аннотацию, накопительную ведомость, 
таблицу распределения энергетической ценности (калорийности) на отдельные приемы пищи,  
таблицу суммарных объемов блюд по приемам пищи (в граммах - не менее)</t>
  </si>
  <si>
    <t xml:space="preserve">Омлет натуральный с маслом с подгарнировкой </t>
  </si>
  <si>
    <t xml:space="preserve">Суп крестьянский с крупой с мясом и сметаной  </t>
  </si>
  <si>
    <t>№154-2013, Пермь</t>
  </si>
  <si>
    <t>крупа перловая</t>
  </si>
  <si>
    <t>горбуша или кета потрошенная с головой (филе с кожей без костей)</t>
  </si>
  <si>
    <t>или минтай потрошенный обезглавленный (филе с кожей без костей)</t>
  </si>
  <si>
    <t>масса готовой рыбы</t>
  </si>
  <si>
    <t>для масляно-сырной смеси</t>
  </si>
  <si>
    <t>вода кипяченая для концентрированного молока</t>
  </si>
  <si>
    <t>вода кипяченая для сухого молока</t>
  </si>
  <si>
    <t>№486-1997</t>
  </si>
  <si>
    <t>Соус сметанный с томатом</t>
  </si>
  <si>
    <t>Тефтели из печени с соусом</t>
  </si>
  <si>
    <t>масса отварного рассыпчатого риса</t>
  </si>
  <si>
    <t>№321-2013, Пермь</t>
  </si>
  <si>
    <t xml:space="preserve">крупа манная </t>
  </si>
  <si>
    <t xml:space="preserve">яйцо куриное </t>
  </si>
  <si>
    <t xml:space="preserve">мука пшеничная </t>
  </si>
  <si>
    <t>масса готовых сырников (2 шт. по 65 г)</t>
  </si>
  <si>
    <t xml:space="preserve">Сырники из творога запечённые с молоком сгущенным  </t>
  </si>
  <si>
    <t>ТТК, ТК № 2</t>
  </si>
  <si>
    <t>43</t>
  </si>
  <si>
    <t>огурцы консервированные</t>
  </si>
  <si>
    <t>маслины</t>
  </si>
  <si>
    <t>ТТК, ТК №5</t>
  </si>
  <si>
    <t xml:space="preserve">Салат из огурцов  </t>
  </si>
  <si>
    <t xml:space="preserve">Каша 5 злаков жидкая </t>
  </si>
  <si>
    <t>крупа (овсяная, кукурузная, пшеничная, ячневая, гречневая)</t>
  </si>
  <si>
    <t>или хлопья промышленного производства "5 злаков"</t>
  </si>
  <si>
    <t xml:space="preserve">хлеб пшеничный </t>
  </si>
  <si>
    <t>масло растительное для смазки емкости</t>
  </si>
  <si>
    <t>№410-2013, Пермь</t>
  </si>
  <si>
    <t>Фрикадельки из кур и говядины</t>
  </si>
  <si>
    <t>№54-24м-2020-2021, Новосибирск</t>
  </si>
  <si>
    <t xml:space="preserve">Шницель из птицы с маслом  </t>
  </si>
  <si>
    <t xml:space="preserve">Борщ "Сибирский" с мясом со сметаной  </t>
  </si>
  <si>
    <t>№111-2004</t>
  </si>
  <si>
    <t>фасоль</t>
  </si>
  <si>
    <t>томатное пюре (без искусственных ароматизаторов, красителей и консервантов, без содержания крахмала и соли)</t>
  </si>
  <si>
    <t>свекла - до 01.01 -20%</t>
  </si>
  <si>
    <t>Суфле творожное со сладкой глазурью</t>
  </si>
  <si>
    <t>№19/3-2011, Екатеринбург</t>
  </si>
  <si>
    <t>джем промышленного производства (без искусственных ароматизаторов, красителей и консервантов)</t>
  </si>
  <si>
    <t>масло сливочное на смазку емкости</t>
  </si>
  <si>
    <t>Макаронные изделия отварные с сыром, с маслом</t>
  </si>
  <si>
    <t>200/5</t>
  </si>
  <si>
    <t>№295-2013, Пермь</t>
  </si>
  <si>
    <t>масса отварных макаронных изделий</t>
  </si>
  <si>
    <t xml:space="preserve">масло сливочное </t>
  </si>
  <si>
    <t>масло сливочное при подаче</t>
  </si>
  <si>
    <t>№498-2004</t>
  </si>
  <si>
    <t>филе куриное или индейки</t>
  </si>
  <si>
    <t>или грудка куриная (разделка на мякоть без кожи)</t>
  </si>
  <si>
    <t>дрожжи прессованные</t>
  </si>
  <si>
    <t>или дрожжи сухие</t>
  </si>
  <si>
    <t>яйца для смазки изделия</t>
  </si>
  <si>
    <t>№452-2004</t>
  </si>
  <si>
    <t>свинина мясная</t>
  </si>
  <si>
    <t>филе индейки</t>
  </si>
  <si>
    <t>яйца</t>
  </si>
  <si>
    <t>Зразы рубленные из индейки с сыром</t>
  </si>
  <si>
    <t>90</t>
  </si>
  <si>
    <t>№54-23М-2020, 2021, Новосибирск</t>
  </si>
  <si>
    <t>филе грудки индейки</t>
  </si>
  <si>
    <t xml:space="preserve">батон </t>
  </si>
  <si>
    <t>Птица, в соусе с томатом</t>
  </si>
  <si>
    <t>№405-2013, Пермь</t>
  </si>
  <si>
    <t xml:space="preserve">филе куриное или филе грудки индейки </t>
  </si>
  <si>
    <t>масса тушеной мякоти птицы</t>
  </si>
  <si>
    <t>томатная паста (без искусственных ароматизаторов, красителей и консервантов, без содержания крахмала и соли)</t>
  </si>
  <si>
    <t>Биточки рубленные из птицы запеченные с маслом</t>
  </si>
  <si>
    <t>№14/2-2011, Екатеринбург</t>
  </si>
  <si>
    <t>ИЛИ Суп из овощей с яйцом, с мясом</t>
  </si>
  <si>
    <t>Суп из овощей с яйцом, с курицей</t>
  </si>
  <si>
    <t>Котлеты из мяса</t>
  </si>
  <si>
    <t>Шницель из мяса</t>
  </si>
  <si>
    <t>250/50</t>
  </si>
  <si>
    <t>масса тушеного мяса</t>
  </si>
  <si>
    <t xml:space="preserve">Печень, тушеная в соусе </t>
  </si>
  <si>
    <t>№401-2013, Пермь</t>
  </si>
  <si>
    <t>масса тушеной печени</t>
  </si>
  <si>
    <t xml:space="preserve">соус сметанный </t>
  </si>
  <si>
    <t>№442-2013, Пермь</t>
  </si>
  <si>
    <t>Овощи консервированные без уксуса (огурцы)</t>
  </si>
  <si>
    <t xml:space="preserve"> №101-2004</t>
  </si>
  <si>
    <t>Кондитерское изделие промышленного производства в ассортименте</t>
  </si>
  <si>
    <t>Яйца вареные</t>
  </si>
  <si>
    <t>№300-2013, Пермь</t>
  </si>
  <si>
    <t xml:space="preserve">Какао с молоком </t>
  </si>
  <si>
    <t>№642-1996</t>
  </si>
  <si>
    <t>макаронные изделия</t>
  </si>
  <si>
    <t>НАКОПИТЕЛЬНАЯ ВЕДОМОСТЬ к меню №2346 от 16.06.2022г (с 7 до 11 лет)</t>
  </si>
  <si>
    <t>12-ти ДНЕВНОЕ МЕНЮ №2346 от 16.06.2022г</t>
  </si>
  <si>
    <t xml:space="preserve"> №416-1996</t>
  </si>
  <si>
    <t>молоко питьевое или вода питьевая</t>
  </si>
  <si>
    <t>32</t>
  </si>
  <si>
    <t>Биточки особые (из свинины мясной и филе индейки) с маслом</t>
  </si>
  <si>
    <t>Котлеты из мяса по домашнему (свинина мясная и говядина) с маслом</t>
  </si>
  <si>
    <t>250/20/5</t>
  </si>
  <si>
    <t>20/15</t>
  </si>
  <si>
    <t>Рыба запеченная с сыром (Технико - технологическая карта № 1, разработана АУ ТО "Центр технологического контроля")</t>
  </si>
  <si>
    <t>ТТК, ТК № 1</t>
  </si>
  <si>
    <t>ТТК, ТК №3</t>
  </si>
  <si>
    <t>Куриные мячики с маслом (Технико - технологическая карта № 3, разработана АУ ТО "Центр технологического контроля")</t>
  </si>
  <si>
    <t>Салат "Пестрый" (Технико - технологическая карта №2, разработана АУ ТО "Центр технологического контроля")</t>
  </si>
  <si>
    <t>Солянка из мяса со сметаной (Технико - технологическая карта №4, разработана АУ ТО "Центр технологического контроля")</t>
  </si>
  <si>
    <t>ТТК, ТК №4</t>
  </si>
  <si>
    <t>Сырная палочка (Технико - технологическая карта №5, разработана АУ ТО "Центр технологического контроля")</t>
  </si>
  <si>
    <t>НОРМА ПИЩЕВЫХ ВЕЩЕСТВ И ЭНЕРГИИ ЗА НЕДЕЛЮ (100%)*:</t>
  </si>
  <si>
    <t>*Приложение 10, Таблица 3 СанПиН 2.3/2.4.3590-20 "Санитарно- эпидемиологические требования к организации общественного питания населения"</t>
  </si>
  <si>
    <t>**Приложение 10, Таблица 1 СанПиН 2.3/2.4.3590-20 "Санитарно- эпидемиологические требования к организации общественного питания населения"</t>
  </si>
  <si>
    <t>или лимон для сока</t>
  </si>
  <si>
    <t>капуста старого урожая используется в сыром виде до 1 марта, с 1 марта только капуста нового урожая</t>
  </si>
  <si>
    <t>№639-2004</t>
  </si>
  <si>
    <t>капуста и морковь старого урожая используется в сыром виде до 1 марта, с 1 марта только капуста и морковь нового урожая или другой салат</t>
  </si>
  <si>
    <t>Винегрет овощной с фасолью</t>
  </si>
  <si>
    <t>№76-2013, Пермь</t>
  </si>
  <si>
    <t xml:space="preserve">Щи из свежей капусты с картофелем, с мясными фрикадельками со сметаной </t>
  </si>
  <si>
    <t>масса отварной печени</t>
  </si>
  <si>
    <t>100/50</t>
  </si>
  <si>
    <t xml:space="preserve">масло растительное </t>
  </si>
  <si>
    <t>масло растительное на полив при подаче</t>
  </si>
  <si>
    <t>масса тушеной птицы (порционные кусочки)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</si>
</sst>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0.000000"/>
    <numFmt numFmtId="204" formatCode="0.0000000"/>
  </numFmts>
  <fonts count="67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 Cyr"/>
      <family val="0"/>
    </font>
    <font>
      <b/>
      <i/>
      <sz val="10"/>
      <name val="Arial"/>
      <family val="2"/>
    </font>
    <font>
      <sz val="6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b/>
      <sz val="7"/>
      <name val="Arial Cyr"/>
      <family val="0"/>
    </font>
    <font>
      <b/>
      <sz val="6"/>
      <name val="Arial"/>
      <family val="2"/>
    </font>
    <font>
      <b/>
      <i/>
      <sz val="7"/>
      <name val="Arial"/>
      <family val="2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4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0" borderId="7" applyNumberFormat="0" applyAlignment="0" applyProtection="0"/>
    <xf numFmtId="0" fontId="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5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5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0" fillId="0" borderId="10" xfId="0" applyNumberFormat="1" applyFont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2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1" fontId="0" fillId="0" borderId="10" xfId="55" applyNumberFormat="1" applyFont="1" applyFill="1" applyBorder="1" applyAlignment="1">
      <alignment horizontal="center" vertical="center"/>
      <protection/>
    </xf>
    <xf numFmtId="1" fontId="0" fillId="27" borderId="10" xfId="0" applyNumberFormat="1" applyFont="1" applyFill="1" applyBorder="1" applyAlignment="1">
      <alignment horizontal="center" vertical="center"/>
    </xf>
    <xf numFmtId="1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13" fillId="0" borderId="10" xfId="56" applyFont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0" fillId="0" borderId="10" xfId="55" applyFont="1" applyBorder="1" applyAlignment="1">
      <alignment horizontal="right" vertical="center"/>
      <protection/>
    </xf>
    <xf numFmtId="0" fontId="0" fillId="0" borderId="10" xfId="55" applyFont="1" applyFill="1" applyBorder="1" applyAlignment="1">
      <alignment horizontal="right" vertical="center"/>
      <protection/>
    </xf>
    <xf numFmtId="0" fontId="2" fillId="26" borderId="10" xfId="0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vertical="center"/>
    </xf>
    <xf numFmtId="1" fontId="14" fillId="26" borderId="10" xfId="0" applyNumberFormat="1" applyFont="1" applyFill="1" applyBorder="1" applyAlignment="1">
      <alignment horizontal="center" vertical="center"/>
    </xf>
    <xf numFmtId="1" fontId="15" fillId="26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horizontal="center" vertical="center" wrapText="1"/>
    </xf>
    <xf numFmtId="192" fontId="2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center" vertical="center"/>
    </xf>
    <xf numFmtId="192" fontId="10" fillId="26" borderId="10" xfId="0" applyNumberFormat="1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right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0" fillId="26" borderId="10" xfId="55" applyFont="1" applyFill="1" applyBorder="1" applyAlignment="1">
      <alignment horizontal="center" vertical="center"/>
      <protection/>
    </xf>
    <xf numFmtId="1" fontId="13" fillId="0" borderId="10" xfId="56" applyNumberFormat="1" applyFont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192" fontId="3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" fontId="12" fillId="26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vertical="center" wrapText="1"/>
    </xf>
    <xf numFmtId="0" fontId="0" fillId="26" borderId="0" xfId="0" applyFont="1" applyFill="1" applyAlignment="1">
      <alignment/>
    </xf>
    <xf numFmtId="192" fontId="12" fillId="26" borderId="10" xfId="0" applyNumberFormat="1" applyFont="1" applyFill="1" applyBorder="1" applyAlignment="1">
      <alignment horizontal="center" vertical="center"/>
    </xf>
    <xf numFmtId="192" fontId="14" fillId="26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right" vertical="center" wrapText="1"/>
    </xf>
    <xf numFmtId="0" fontId="14" fillId="26" borderId="10" xfId="0" applyFont="1" applyFill="1" applyBorder="1" applyAlignment="1">
      <alignment vertical="center" wrapText="1"/>
    </xf>
    <xf numFmtId="0" fontId="2" fillId="26" borderId="0" xfId="0" applyFont="1" applyFill="1" applyAlignment="1">
      <alignment/>
    </xf>
    <xf numFmtId="0" fontId="0" fillId="26" borderId="10" xfId="0" applyFill="1" applyBorder="1" applyAlignment="1">
      <alignment/>
    </xf>
    <xf numFmtId="192" fontId="2" fillId="26" borderId="10" xfId="55" applyNumberFormat="1" applyFont="1" applyFill="1" applyBorder="1" applyAlignment="1">
      <alignment horizontal="center" vertical="center"/>
      <protection/>
    </xf>
    <xf numFmtId="192" fontId="19" fillId="26" borderId="10" xfId="0" applyNumberFormat="1" applyFont="1" applyFill="1" applyBorder="1" applyAlignment="1">
      <alignment horizontal="center" vertical="center"/>
    </xf>
    <xf numFmtId="192" fontId="20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92" fontId="0" fillId="26" borderId="10" xfId="55" applyNumberFormat="1" applyFont="1" applyFill="1" applyBorder="1" applyAlignment="1">
      <alignment horizontal="center" vertical="center"/>
      <protection/>
    </xf>
    <xf numFmtId="192" fontId="2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0" fontId="0" fillId="26" borderId="11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ont="1" applyFill="1" applyAlignment="1">
      <alignment/>
    </xf>
    <xf numFmtId="0" fontId="0" fillId="27" borderId="10" xfId="0" applyFont="1" applyFill="1" applyBorder="1" applyAlignment="1">
      <alignment horizontal="right" vertical="center" wrapText="1"/>
    </xf>
    <xf numFmtId="192" fontId="0" fillId="26" borderId="10" xfId="0" applyNumberFormat="1" applyFont="1" applyFill="1" applyBorder="1" applyAlignment="1">
      <alignment/>
    </xf>
    <xf numFmtId="1" fontId="0" fillId="27" borderId="10" xfId="0" applyNumberFormat="1" applyFont="1" applyFill="1" applyBorder="1" applyAlignment="1">
      <alignment horizontal="center" vertical="center"/>
    </xf>
    <xf numFmtId="192" fontId="2" fillId="0" borderId="0" xfId="0" applyNumberFormat="1" applyFont="1" applyAlignment="1">
      <alignment/>
    </xf>
    <xf numFmtId="0" fontId="14" fillId="26" borderId="0" xfId="0" applyFont="1" applyFill="1" applyBorder="1" applyAlignment="1">
      <alignment vertical="center"/>
    </xf>
    <xf numFmtId="0" fontId="65" fillId="26" borderId="10" xfId="0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2" fontId="3" fillId="26" borderId="10" xfId="0" applyNumberFormat="1" applyFont="1" applyFill="1" applyBorder="1" applyAlignment="1">
      <alignment horizontal="center" vertical="center"/>
    </xf>
    <xf numFmtId="0" fontId="14" fillId="26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/>
    </xf>
    <xf numFmtId="1" fontId="0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0" fillId="26" borderId="12" xfId="0" applyFill="1" applyBorder="1" applyAlignment="1">
      <alignment vertical="center"/>
    </xf>
    <xf numFmtId="0" fontId="0" fillId="26" borderId="13" xfId="0" applyFill="1" applyBorder="1" applyAlignment="1">
      <alignment vertical="center"/>
    </xf>
    <xf numFmtId="192" fontId="15" fillId="26" borderId="10" xfId="0" applyNumberFormat="1" applyFont="1" applyFill="1" applyBorder="1" applyAlignment="1">
      <alignment horizontal="center" vertical="center"/>
    </xf>
    <xf numFmtId="0" fontId="3" fillId="26" borderId="0" xfId="0" applyFont="1" applyFill="1" applyAlignment="1">
      <alignment vertical="center"/>
    </xf>
    <xf numFmtId="0" fontId="9" fillId="26" borderId="14" xfId="0" applyFont="1" applyFill="1" applyBorder="1" applyAlignment="1">
      <alignment horizontal="center" vertical="center" wrapText="1"/>
    </xf>
    <xf numFmtId="0" fontId="9" fillId="26" borderId="15" xfId="0" applyFont="1" applyFill="1" applyBorder="1" applyAlignment="1">
      <alignment horizontal="center" vertical="center" wrapText="1"/>
    </xf>
    <xf numFmtId="0" fontId="9" fillId="26" borderId="16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192" fontId="15" fillId="26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 applyProtection="1">
      <alignment horizontal="center" vertical="center"/>
      <protection/>
    </xf>
    <xf numFmtId="192" fontId="19" fillId="26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192" fontId="18" fillId="26" borderId="10" xfId="0" applyNumberFormat="1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right" vertical="center" wrapText="1"/>
      <protection/>
    </xf>
    <xf numFmtId="0" fontId="0" fillId="26" borderId="0" xfId="0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13" fillId="27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92" fontId="0" fillId="0" borderId="0" xfId="0" applyNumberFormat="1" applyFont="1" applyAlignment="1">
      <alignment/>
    </xf>
    <xf numFmtId="0" fontId="0" fillId="27" borderId="10" xfId="0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/>
    </xf>
    <xf numFmtId="0" fontId="0" fillId="26" borderId="10" xfId="0" applyFont="1" applyFill="1" applyBorder="1" applyAlignment="1">
      <alignment/>
    </xf>
    <xf numFmtId="1" fontId="0" fillId="26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26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92" fontId="0" fillId="0" borderId="10" xfId="55" applyNumberFormat="1" applyFont="1" applyBorder="1" applyAlignment="1">
      <alignment horizontal="center" vertical="center"/>
      <protection/>
    </xf>
    <xf numFmtId="192" fontId="0" fillId="0" borderId="10" xfId="55" applyNumberFormat="1" applyFont="1" applyFill="1" applyBorder="1" applyAlignment="1">
      <alignment horizontal="center" vertical="center"/>
      <protection/>
    </xf>
    <xf numFmtId="0" fontId="21" fillId="26" borderId="10" xfId="0" applyFont="1" applyFill="1" applyBorder="1" applyAlignment="1">
      <alignment horizontal="center" vertical="center"/>
    </xf>
    <xf numFmtId="49" fontId="21" fillId="26" borderId="10" xfId="0" applyNumberFormat="1" applyFont="1" applyFill="1" applyBorder="1" applyAlignment="1">
      <alignment horizontal="center" vertical="center"/>
    </xf>
    <xf numFmtId="9" fontId="21" fillId="26" borderId="10" xfId="0" applyNumberFormat="1" applyFont="1" applyFill="1" applyBorder="1" applyAlignment="1">
      <alignment horizontal="center" vertical="center"/>
    </xf>
    <xf numFmtId="1" fontId="22" fillId="26" borderId="10" xfId="0" applyNumberFormat="1" applyFont="1" applyFill="1" applyBorder="1" applyAlignment="1">
      <alignment horizontal="center" vertical="center"/>
    </xf>
    <xf numFmtId="1" fontId="0" fillId="26" borderId="0" xfId="0" applyNumberForma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right"/>
    </xf>
    <xf numFmtId="0" fontId="23" fillId="0" borderId="10" xfId="56" applyFont="1" applyBorder="1" applyAlignment="1">
      <alignment horizontal="right" vertical="center" wrapText="1"/>
      <protection/>
    </xf>
    <xf numFmtId="1" fontId="23" fillId="0" borderId="10" xfId="56" applyNumberFormat="1" applyFont="1" applyBorder="1" applyAlignment="1">
      <alignment horizontal="center" vertical="center"/>
      <protection/>
    </xf>
    <xf numFmtId="1" fontId="24" fillId="0" borderId="10" xfId="0" applyNumberFormat="1" applyFont="1" applyBorder="1" applyAlignment="1">
      <alignment horizontal="center" vertical="center"/>
    </xf>
    <xf numFmtId="192" fontId="24" fillId="26" borderId="10" xfId="0" applyNumberFormat="1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  <xf numFmtId="192" fontId="2" fillId="26" borderId="0" xfId="0" applyNumberFormat="1" applyFont="1" applyFill="1" applyBorder="1" applyAlignment="1">
      <alignment horizontal="center" vertical="center"/>
    </xf>
    <xf numFmtId="1" fontId="2" fillId="26" borderId="0" xfId="0" applyNumberFormat="1" applyFont="1" applyFill="1" applyBorder="1" applyAlignment="1">
      <alignment horizontal="center" vertical="center"/>
    </xf>
    <xf numFmtId="2" fontId="2" fillId="26" borderId="0" xfId="0" applyNumberFormat="1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right" vertical="center"/>
    </xf>
    <xf numFmtId="1" fontId="0" fillId="26" borderId="0" xfId="0" applyNumberFormat="1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192" fontId="0" fillId="26" borderId="0" xfId="0" applyNumberFormat="1" applyFont="1" applyFill="1" applyBorder="1" applyAlignment="1">
      <alignment horizontal="center" vertical="center"/>
    </xf>
    <xf numFmtId="2" fontId="0" fillId="26" borderId="0" xfId="0" applyNumberFormat="1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horizontal="center" vertical="center"/>
    </xf>
    <xf numFmtId="2" fontId="2" fillId="26" borderId="0" xfId="0" applyNumberFormat="1" applyFont="1" applyFill="1" applyBorder="1" applyAlignment="1">
      <alignment vertical="center"/>
    </xf>
    <xf numFmtId="0" fontId="0" fillId="26" borderId="0" xfId="0" applyFont="1" applyFill="1" applyBorder="1" applyAlignment="1">
      <alignment horizontal="center" vertical="center"/>
    </xf>
    <xf numFmtId="192" fontId="0" fillId="26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2" fontId="2" fillId="26" borderId="0" xfId="0" applyNumberFormat="1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4" fillId="26" borderId="10" xfId="0" applyFont="1" applyFill="1" applyBorder="1" applyAlignment="1">
      <alignment horizontal="left" vertical="center" wrapText="1"/>
    </xf>
    <xf numFmtId="0" fontId="14" fillId="26" borderId="10" xfId="0" applyFont="1" applyFill="1" applyBorder="1" applyAlignment="1">
      <alignment horizontal="left" vertical="center" wrapText="1"/>
    </xf>
    <xf numFmtId="192" fontId="14" fillId="26" borderId="17" xfId="0" applyNumberFormat="1" applyFont="1" applyFill="1" applyBorder="1" applyAlignment="1">
      <alignment horizontal="center" vertical="center"/>
    </xf>
    <xf numFmtId="1" fontId="14" fillId="26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" fontId="20" fillId="26" borderId="0" xfId="0" applyNumberFormat="1" applyFont="1" applyFill="1" applyBorder="1" applyAlignment="1">
      <alignment horizontal="center" vertical="center"/>
    </xf>
    <xf numFmtId="0" fontId="14" fillId="26" borderId="17" xfId="0" applyFont="1" applyFill="1" applyBorder="1" applyAlignment="1">
      <alignment horizontal="center" vertical="center"/>
    </xf>
    <xf numFmtId="0" fontId="0" fillId="26" borderId="0" xfId="0" applyFont="1" applyFill="1" applyAlignment="1">
      <alignment vertical="center"/>
    </xf>
    <xf numFmtId="192" fontId="14" fillId="26" borderId="10" xfId="0" applyNumberFormat="1" applyFont="1" applyFill="1" applyBorder="1" applyAlignment="1">
      <alignment vertical="center"/>
    </xf>
    <xf numFmtId="49" fontId="0" fillId="26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9" fillId="26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1" fontId="9" fillId="26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 wrapText="1"/>
    </xf>
    <xf numFmtId="2" fontId="0" fillId="26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/>
    </xf>
    <xf numFmtId="0" fontId="19" fillId="0" borderId="10" xfId="55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192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192" fontId="0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1" fontId="21" fillId="28" borderId="10" xfId="0" applyNumberFormat="1" applyFont="1" applyFill="1" applyBorder="1" applyAlignment="1">
      <alignment horizontal="center" vertical="center"/>
    </xf>
    <xf numFmtId="0" fontId="21" fillId="26" borderId="18" xfId="0" applyFont="1" applyFill="1" applyBorder="1" applyAlignment="1">
      <alignment horizontal="center" vertical="center"/>
    </xf>
    <xf numFmtId="49" fontId="21" fillId="26" borderId="18" xfId="0" applyNumberFormat="1" applyFont="1" applyFill="1" applyBorder="1" applyAlignment="1">
      <alignment horizontal="center" vertical="center"/>
    </xf>
    <xf numFmtId="1" fontId="22" fillId="26" borderId="19" xfId="0" applyNumberFormat="1" applyFont="1" applyFill="1" applyBorder="1" applyAlignment="1">
      <alignment horizontal="center" vertical="center"/>
    </xf>
    <xf numFmtId="1" fontId="21" fillId="28" borderId="19" xfId="0" applyNumberFormat="1" applyFont="1" applyFill="1" applyBorder="1" applyAlignment="1">
      <alignment horizontal="center" vertical="center"/>
    </xf>
    <xf numFmtId="0" fontId="21" fillId="26" borderId="20" xfId="0" applyFont="1" applyFill="1" applyBorder="1" applyAlignment="1">
      <alignment horizontal="center" vertical="center" wrapText="1"/>
    </xf>
    <xf numFmtId="1" fontId="21" fillId="26" borderId="21" xfId="0" applyNumberFormat="1" applyFont="1" applyFill="1" applyBorder="1" applyAlignment="1">
      <alignment horizontal="center" vertical="center"/>
    </xf>
    <xf numFmtId="1" fontId="21" fillId="26" borderId="2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1" fontId="10" fillId="26" borderId="10" xfId="0" applyNumberFormat="1" applyFont="1" applyFill="1" applyBorder="1" applyAlignment="1">
      <alignment horizontal="center" vertical="center"/>
    </xf>
    <xf numFmtId="0" fontId="0" fillId="0" borderId="10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24" fillId="26" borderId="10" xfId="0" applyNumberFormat="1" applyFont="1" applyFill="1" applyBorder="1" applyAlignment="1">
      <alignment horizontal="center" vertical="center"/>
    </xf>
    <xf numFmtId="0" fontId="19" fillId="26" borderId="10" xfId="55" applyFont="1" applyFill="1" applyBorder="1" applyAlignment="1">
      <alignment horizontal="center" vertical="center"/>
      <protection/>
    </xf>
    <xf numFmtId="0" fontId="0" fillId="26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0" fontId="22" fillId="26" borderId="23" xfId="0" applyFont="1" applyFill="1" applyBorder="1" applyAlignment="1">
      <alignment horizontal="center" vertical="center"/>
    </xf>
    <xf numFmtId="0" fontId="21" fillId="28" borderId="2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26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92" fontId="17" fillId="26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17" fillId="26" borderId="10" xfId="0" applyFont="1" applyFill="1" applyBorder="1" applyAlignment="1">
      <alignment/>
    </xf>
    <xf numFmtId="2" fontId="17" fillId="0" borderId="10" xfId="55" applyNumberFormat="1" applyFont="1" applyFill="1" applyBorder="1" applyAlignment="1">
      <alignment horizontal="center"/>
      <protection/>
    </xf>
    <xf numFmtId="1" fontId="28" fillId="0" borderId="10" xfId="0" applyNumberFormat="1" applyFont="1" applyFill="1" applyBorder="1" applyAlignment="1">
      <alignment horizontal="center" vertical="top"/>
    </xf>
    <xf numFmtId="0" fontId="17" fillId="0" borderId="24" xfId="0" applyFont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9" fillId="26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1" fontId="17" fillId="26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center" vertical="center"/>
    </xf>
    <xf numFmtId="0" fontId="17" fillId="26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66" fillId="26" borderId="10" xfId="0" applyFont="1" applyFill="1" applyBorder="1" applyAlignment="1">
      <alignment horizontal="center" vertical="center"/>
    </xf>
    <xf numFmtId="1" fontId="66" fillId="26" borderId="10" xfId="0" applyNumberFormat="1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27" borderId="10" xfId="0" applyFont="1" applyFill="1" applyBorder="1" applyAlignment="1">
      <alignment horizontal="center" vertical="center" wrapText="1"/>
    </xf>
    <xf numFmtId="0" fontId="17" fillId="27" borderId="10" xfId="0" applyFont="1" applyFill="1" applyBorder="1" applyAlignment="1">
      <alignment horizontal="center" vertical="center"/>
    </xf>
    <xf numFmtId="0" fontId="17" fillId="27" borderId="14" xfId="0" applyFont="1" applyFill="1" applyBorder="1" applyAlignment="1">
      <alignment horizontal="center" vertical="center" wrapText="1"/>
    </xf>
    <xf numFmtId="192" fontId="14" fillId="26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92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92" fontId="1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192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4" fillId="0" borderId="10" xfId="0" applyFont="1" applyFill="1" applyBorder="1" applyAlignment="1">
      <alignment vertical="center" wrapText="1"/>
    </xf>
    <xf numFmtId="192" fontId="14" fillId="0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2" fillId="26" borderId="0" xfId="0" applyFont="1" applyFill="1" applyAlignment="1">
      <alignment wrapText="1"/>
    </xf>
    <xf numFmtId="0" fontId="0" fillId="0" borderId="0" xfId="0" applyFont="1" applyAlignment="1">
      <alignment wrapText="1"/>
    </xf>
    <xf numFmtId="192" fontId="2" fillId="26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26" borderId="0" xfId="0" applyFont="1" applyFill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1" fontId="18" fillId="0" borderId="10" xfId="0" applyNumberFormat="1" applyFont="1" applyFill="1" applyBorder="1" applyAlignment="1">
      <alignment horizontal="center" vertical="center"/>
    </xf>
    <xf numFmtId="192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92" fontId="18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 horizontal="center"/>
    </xf>
    <xf numFmtId="192" fontId="0" fillId="0" borderId="0" xfId="0" applyNumberFormat="1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92" fontId="0" fillId="0" borderId="0" xfId="0" applyNumberFormat="1" applyFont="1" applyFill="1" applyAlignment="1">
      <alignment/>
    </xf>
    <xf numFmtId="1" fontId="9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2" fontId="2" fillId="0" borderId="10" xfId="55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192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92" fontId="17" fillId="0" borderId="10" xfId="0" applyNumberFormat="1" applyFont="1" applyFill="1" applyBorder="1" applyAlignment="1">
      <alignment horizontal="center" vertical="center" wrapText="1"/>
    </xf>
    <xf numFmtId="0" fontId="13" fillId="0" borderId="10" xfId="56" applyFont="1" applyFill="1" applyBorder="1" applyAlignment="1">
      <alignment horizontal="right" vertical="center"/>
      <protection/>
    </xf>
    <xf numFmtId="1" fontId="13" fillId="0" borderId="10" xfId="56" applyNumberFormat="1" applyFont="1" applyFill="1" applyBorder="1" applyAlignment="1">
      <alignment horizontal="center" vertical="center"/>
      <protection/>
    </xf>
    <xf numFmtId="1" fontId="16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92" fontId="24" fillId="0" borderId="10" xfId="0" applyNumberFormat="1" applyFont="1" applyFill="1" applyBorder="1" applyAlignment="1">
      <alignment horizontal="center" vertical="center"/>
    </xf>
    <xf numFmtId="0" fontId="13" fillId="0" borderId="10" xfId="56" applyFont="1" applyFill="1" applyBorder="1" applyAlignment="1">
      <alignment horizontal="right" vertical="center" wrapText="1"/>
      <protection/>
    </xf>
    <xf numFmtId="1" fontId="13" fillId="0" borderId="10" xfId="56" applyNumberFormat="1" applyFont="1" applyFill="1" applyBorder="1" applyAlignment="1">
      <alignment horizontal="center" vertical="center" wrapText="1"/>
      <protection/>
    </xf>
    <xf numFmtId="1" fontId="16" fillId="0" borderId="10" xfId="0" applyNumberFormat="1" applyFont="1" applyFill="1" applyBorder="1" applyAlignment="1">
      <alignment horizontal="center" vertical="center" wrapText="1"/>
    </xf>
    <xf numFmtId="192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right" vertical="center" wrapText="1"/>
    </xf>
    <xf numFmtId="192" fontId="30" fillId="2" borderId="10" xfId="0" applyNumberFormat="1" applyFont="1" applyFill="1" applyBorder="1" applyAlignment="1">
      <alignment horizontal="center" vertical="center" wrapText="1"/>
    </xf>
    <xf numFmtId="192" fontId="30" fillId="26" borderId="10" xfId="0" applyNumberFormat="1" applyFont="1" applyFill="1" applyBorder="1" applyAlignment="1">
      <alignment horizontal="center" vertical="center" wrapText="1"/>
    </xf>
    <xf numFmtId="192" fontId="17" fillId="26" borderId="10" xfId="0" applyNumberFormat="1" applyFont="1" applyFill="1" applyBorder="1" applyAlignment="1">
      <alignment horizontal="center" vertical="center" wrapText="1"/>
    </xf>
    <xf numFmtId="1" fontId="0" fillId="25" borderId="10" xfId="55" applyNumberFormat="1" applyFont="1" applyFill="1" applyBorder="1" applyAlignment="1">
      <alignment horizontal="center" vertical="center"/>
      <protection/>
    </xf>
    <xf numFmtId="192" fontId="0" fillId="0" borderId="10" xfId="0" applyNumberFormat="1" applyFont="1" applyFill="1" applyBorder="1" applyAlignment="1">
      <alignment vertical="center"/>
    </xf>
    <xf numFmtId="1" fontId="16" fillId="26" borderId="10" xfId="0" applyNumberFormat="1" applyFont="1" applyFill="1" applyBorder="1" applyAlignment="1">
      <alignment horizontal="center" vertical="center"/>
    </xf>
    <xf numFmtId="192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vertical="center"/>
    </xf>
    <xf numFmtId="2" fontId="17" fillId="0" borderId="10" xfId="0" applyNumberFormat="1" applyFont="1" applyFill="1" applyBorder="1" applyAlignment="1">
      <alignment horizontal="center" vertical="center"/>
    </xf>
    <xf numFmtId="192" fontId="31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 wrapText="1"/>
    </xf>
    <xf numFmtId="192" fontId="17" fillId="0" borderId="10" xfId="0" applyNumberFormat="1" applyFont="1" applyFill="1" applyBorder="1" applyAlignment="1">
      <alignment horizontal="center" vertical="center"/>
    </xf>
    <xf numFmtId="192" fontId="30" fillId="26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6" borderId="10" xfId="0" applyNumberFormat="1" applyFont="1" applyFill="1" applyBorder="1" applyAlignment="1">
      <alignment vertical="center"/>
    </xf>
    <xf numFmtId="192" fontId="0" fillId="26" borderId="10" xfId="0" applyNumberFormat="1" applyFont="1" applyFill="1" applyBorder="1" applyAlignment="1">
      <alignment vertical="center"/>
    </xf>
    <xf numFmtId="0" fontId="0" fillId="0" borderId="10" xfId="56" applyFont="1" applyFill="1" applyBorder="1" applyAlignment="1">
      <alignment horizontal="right" vertical="center" wrapText="1"/>
      <protection/>
    </xf>
    <xf numFmtId="2" fontId="0" fillId="26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32" fillId="26" borderId="10" xfId="0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6" fillId="26" borderId="10" xfId="0" applyFont="1" applyFill="1" applyBorder="1" applyAlignment="1">
      <alignment horizontal="center" vertical="center"/>
    </xf>
    <xf numFmtId="192" fontId="16" fillId="26" borderId="10" xfId="0" applyNumberFormat="1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 wrapText="1"/>
    </xf>
    <xf numFmtId="192" fontId="2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3" fillId="26" borderId="10" xfId="0" applyNumberFormat="1" applyFont="1" applyFill="1" applyBorder="1" applyAlignment="1">
      <alignment horizontal="center" vertical="center"/>
    </xf>
    <xf numFmtId="2" fontId="20" fillId="26" borderId="10" xfId="0" applyNumberFormat="1" applyFont="1" applyFill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2" fontId="17" fillId="26" borderId="10" xfId="0" applyNumberFormat="1" applyFont="1" applyFill="1" applyBorder="1" applyAlignment="1">
      <alignment horizontal="center" vertical="center"/>
    </xf>
    <xf numFmtId="2" fontId="9" fillId="26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right" vertical="center"/>
    </xf>
    <xf numFmtId="0" fontId="2" fillId="26" borderId="10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192" fontId="14" fillId="0" borderId="10" xfId="0" applyNumberFormat="1" applyFont="1" applyFill="1" applyBorder="1" applyAlignment="1">
      <alignment vertical="center"/>
    </xf>
    <xf numFmtId="192" fontId="14" fillId="26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right" vertical="center"/>
    </xf>
    <xf numFmtId="2" fontId="14" fillId="26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26" borderId="10" xfId="0" applyFont="1" applyFill="1" applyBorder="1" applyAlignment="1">
      <alignment vertical="center"/>
    </xf>
    <xf numFmtId="1" fontId="0" fillId="26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" fontId="31" fillId="0" borderId="10" xfId="0" applyNumberFormat="1" applyFont="1" applyFill="1" applyBorder="1" applyAlignment="1">
      <alignment vertical="center"/>
    </xf>
    <xf numFmtId="2" fontId="31" fillId="0" borderId="10" xfId="0" applyNumberFormat="1" applyFont="1" applyFill="1" applyBorder="1" applyAlignment="1">
      <alignment horizontal="center" vertical="center"/>
    </xf>
    <xf numFmtId="2" fontId="15" fillId="26" borderId="10" xfId="0" applyNumberFormat="1" applyFont="1" applyFill="1" applyBorder="1" applyAlignment="1">
      <alignment horizontal="center" vertical="center" wrapText="1"/>
    </xf>
    <xf numFmtId="1" fontId="13" fillId="26" borderId="10" xfId="56" applyNumberFormat="1" applyFont="1" applyFill="1" applyBorder="1" applyAlignment="1">
      <alignment horizontal="center" vertical="center"/>
      <protection/>
    </xf>
    <xf numFmtId="0" fontId="13" fillId="26" borderId="10" xfId="56" applyFont="1" applyFill="1" applyBorder="1" applyAlignment="1">
      <alignment horizontal="right" vertical="center"/>
      <protection/>
    </xf>
    <xf numFmtId="1" fontId="0" fillId="0" borderId="10" xfId="0" applyNumberFormat="1" applyFont="1" applyFill="1" applyBorder="1" applyAlignment="1">
      <alignment horizontal="left" vertical="center"/>
    </xf>
    <xf numFmtId="192" fontId="0" fillId="0" borderId="10" xfId="0" applyNumberFormat="1" applyFont="1" applyFill="1" applyBorder="1" applyAlignment="1">
      <alignment horizontal="left" vertical="center"/>
    </xf>
    <xf numFmtId="2" fontId="9" fillId="26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192" fontId="13" fillId="0" borderId="10" xfId="56" applyNumberFormat="1" applyFont="1" applyBorder="1" applyAlignment="1">
      <alignment horizontal="center" vertical="center"/>
      <protection/>
    </xf>
    <xf numFmtId="0" fontId="0" fillId="26" borderId="10" xfId="0" applyFont="1" applyFill="1" applyBorder="1" applyAlignment="1">
      <alignment horizontal="right" vertical="center"/>
    </xf>
    <xf numFmtId="0" fontId="0" fillId="26" borderId="10" xfId="0" applyFont="1" applyFill="1" applyBorder="1" applyAlignment="1">
      <alignment horizontal="right" vertical="center" wrapText="1"/>
    </xf>
    <xf numFmtId="1" fontId="0" fillId="26" borderId="10" xfId="0" applyNumberFormat="1" applyFont="1" applyFill="1" applyBorder="1" applyAlignment="1" applyProtection="1">
      <alignment horizontal="center" vertical="center"/>
      <protection/>
    </xf>
    <xf numFmtId="1" fontId="0" fillId="26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192" fontId="11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1" fillId="29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55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2" fillId="26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92" fontId="1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22" fillId="26" borderId="26" xfId="0" applyNumberFormat="1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21" fillId="26" borderId="27" xfId="0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center" vertical="center" wrapText="1"/>
    </xf>
    <xf numFmtId="49" fontId="22" fillId="26" borderId="18" xfId="0" applyNumberFormat="1" applyFont="1" applyFill="1" applyBorder="1" applyAlignment="1">
      <alignment horizontal="center" vertical="center" wrapText="1"/>
    </xf>
    <xf numFmtId="49" fontId="22" fillId="2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26" borderId="10" xfId="0" applyFont="1" applyFill="1" applyBorder="1" applyAlignment="1">
      <alignment horizontal="left" vertical="center" wrapText="1"/>
    </xf>
    <xf numFmtId="0" fontId="16" fillId="26" borderId="10" xfId="0" applyFont="1" applyFill="1" applyBorder="1" applyAlignment="1">
      <alignment horizontal="left" vertical="center" wrapText="1"/>
    </xf>
    <xf numFmtId="0" fontId="9" fillId="26" borderId="25" xfId="0" applyFont="1" applyFill="1" applyBorder="1" applyAlignment="1">
      <alignment horizontal="center" vertical="center" wrapText="1"/>
    </xf>
    <xf numFmtId="0" fontId="9" fillId="26" borderId="13" xfId="0" applyFont="1" applyFill="1" applyBorder="1" applyAlignment="1">
      <alignment horizontal="center" vertical="center" wrapText="1"/>
    </xf>
    <xf numFmtId="0" fontId="14" fillId="26" borderId="17" xfId="0" applyFont="1" applyFill="1" applyBorder="1" applyAlignment="1">
      <alignment horizontal="left" vertical="top" wrapText="1"/>
    </xf>
    <xf numFmtId="0" fontId="3" fillId="26" borderId="12" xfId="0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 wrapText="1"/>
    </xf>
    <xf numFmtId="0" fontId="9" fillId="26" borderId="14" xfId="0" applyFont="1" applyFill="1" applyBorder="1" applyAlignment="1">
      <alignment horizontal="center" vertical="center" wrapText="1"/>
    </xf>
    <xf numFmtId="0" fontId="9" fillId="26" borderId="15" xfId="0" applyFont="1" applyFill="1" applyBorder="1" applyAlignment="1">
      <alignment horizontal="center" vertical="center" wrapText="1"/>
    </xf>
    <xf numFmtId="0" fontId="9" fillId="26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47"/>
  <sheetViews>
    <sheetView tabSelected="1" view="pageBreakPreview" zoomScale="80" zoomScaleNormal="80" zoomScaleSheetLayoutView="80" zoomScalePageLayoutView="0" workbookViewId="0" topLeftCell="A493">
      <selection activeCell="I497" sqref="I497"/>
    </sheetView>
  </sheetViews>
  <sheetFormatPr defaultColWidth="9.140625" defaultRowHeight="30" customHeight="1" outlineLevelCol="1"/>
  <cols>
    <col min="1" max="1" width="58.57421875" style="178" customWidth="1"/>
    <col min="2" max="3" width="10.00390625" style="179" customWidth="1"/>
    <col min="4" max="4" width="10.7109375" style="229" customWidth="1"/>
    <col min="5" max="7" width="10.7109375" style="364" customWidth="1"/>
    <col min="8" max="8" width="12.8515625" style="179" customWidth="1"/>
    <col min="9" max="9" width="11.00390625" style="275" customWidth="1"/>
    <col min="10" max="10" width="9.140625" style="61" customWidth="1"/>
    <col min="11" max="11" width="9.140625" style="334" hidden="1" customWidth="1" outlineLevel="1"/>
    <col min="12" max="12" width="9.140625" style="61" hidden="1" customWidth="1" outlineLevel="1"/>
    <col min="13" max="13" width="9.140625" style="61" customWidth="1" collapsed="1"/>
    <col min="14" max="16384" width="9.140625" style="61" customWidth="1"/>
  </cols>
  <sheetData>
    <row r="1" spans="1:9" ht="45" customHeight="1">
      <c r="A1" s="504" t="s">
        <v>207</v>
      </c>
      <c r="B1" s="504"/>
      <c r="C1" s="504"/>
      <c r="D1" s="504"/>
      <c r="E1" s="504"/>
      <c r="F1" s="504"/>
      <c r="G1" s="504"/>
      <c r="H1" s="504"/>
      <c r="I1" s="504"/>
    </row>
    <row r="2" spans="1:9" ht="30" customHeight="1">
      <c r="A2" s="505" t="s">
        <v>208</v>
      </c>
      <c r="B2" s="505"/>
      <c r="C2" s="505"/>
      <c r="D2" s="505"/>
      <c r="E2" s="505"/>
      <c r="F2" s="505"/>
      <c r="G2" s="505"/>
      <c r="H2" s="507"/>
      <c r="I2" s="505"/>
    </row>
    <row r="3" spans="1:9" ht="30" customHeight="1">
      <c r="A3" s="505" t="s">
        <v>486</v>
      </c>
      <c r="B3" s="505"/>
      <c r="C3" s="505"/>
      <c r="D3" s="505"/>
      <c r="E3" s="505"/>
      <c r="F3" s="505"/>
      <c r="G3" s="505"/>
      <c r="H3" s="505"/>
      <c r="I3" s="505"/>
    </row>
    <row r="4" spans="1:9" ht="60" customHeight="1">
      <c r="A4" s="506" t="s">
        <v>393</v>
      </c>
      <c r="B4" s="506"/>
      <c r="C4" s="506"/>
      <c r="D4" s="506"/>
      <c r="E4" s="506"/>
      <c r="F4" s="506"/>
      <c r="G4" s="506"/>
      <c r="H4" s="506"/>
      <c r="I4" s="506"/>
    </row>
    <row r="5" spans="1:11" s="9" customFormat="1" ht="30" customHeight="1">
      <c r="A5" s="490" t="s">
        <v>69</v>
      </c>
      <c r="B5" s="490"/>
      <c r="C5" s="490"/>
      <c r="D5" s="490"/>
      <c r="E5" s="490"/>
      <c r="F5" s="490"/>
      <c r="G5" s="490"/>
      <c r="H5" s="490"/>
      <c r="I5" s="490"/>
      <c r="K5" s="335"/>
    </row>
    <row r="6" spans="1:11" s="9" customFormat="1" ht="30" customHeight="1">
      <c r="A6" s="487" t="s">
        <v>0</v>
      </c>
      <c r="B6" s="476" t="s">
        <v>6</v>
      </c>
      <c r="C6" s="476" t="s">
        <v>7</v>
      </c>
      <c r="D6" s="487" t="s">
        <v>5</v>
      </c>
      <c r="E6" s="487"/>
      <c r="F6" s="487"/>
      <c r="G6" s="487"/>
      <c r="H6" s="487"/>
      <c r="I6" s="487"/>
      <c r="K6" s="335"/>
    </row>
    <row r="7" spans="1:12" s="2" customFormat="1" ht="30" customHeight="1">
      <c r="A7" s="487"/>
      <c r="B7" s="476"/>
      <c r="C7" s="476"/>
      <c r="D7" s="138" t="s">
        <v>8</v>
      </c>
      <c r="E7" s="301" t="s">
        <v>1</v>
      </c>
      <c r="F7" s="301" t="s">
        <v>2</v>
      </c>
      <c r="G7" s="301" t="s">
        <v>9</v>
      </c>
      <c r="H7" s="300" t="s">
        <v>3</v>
      </c>
      <c r="I7" s="302" t="s">
        <v>199</v>
      </c>
      <c r="J7" s="9"/>
      <c r="K7" s="336" t="s">
        <v>40</v>
      </c>
      <c r="L7" s="9"/>
    </row>
    <row r="8" spans="1:12" s="9" customFormat="1" ht="30" customHeight="1">
      <c r="A8" s="479" t="s">
        <v>109</v>
      </c>
      <c r="B8" s="479"/>
      <c r="C8" s="479"/>
      <c r="D8" s="263">
        <f>40+D12+D30+D38</f>
        <v>565</v>
      </c>
      <c r="E8" s="99">
        <f>E9+E12+E30+E39+E38</f>
        <v>23.799999999999997</v>
      </c>
      <c r="F8" s="99">
        <f>F9+F12+F30+F39+F38</f>
        <v>24.299999999999997</v>
      </c>
      <c r="G8" s="99">
        <f>G9+G12+G30+G39+G38</f>
        <v>63.099999999999994</v>
      </c>
      <c r="H8" s="99">
        <f>H9+H12+H30+H39+H38</f>
        <v>565.4</v>
      </c>
      <c r="I8" s="274"/>
      <c r="K8" s="322" t="s">
        <v>26</v>
      </c>
      <c r="L8" s="9">
        <f>D99+C39</f>
        <v>60</v>
      </c>
    </row>
    <row r="9" spans="1:12" s="1" customFormat="1" ht="30" customHeight="1">
      <c r="A9" s="149" t="s">
        <v>331</v>
      </c>
      <c r="B9" s="36"/>
      <c r="C9" s="21"/>
      <c r="D9" s="294" t="s">
        <v>121</v>
      </c>
      <c r="E9" s="44">
        <v>1.9</v>
      </c>
      <c r="F9" s="44">
        <v>0.4</v>
      </c>
      <c r="G9" s="44">
        <v>27.7</v>
      </c>
      <c r="H9" s="43">
        <f>G9*4+F9*9+E9*4</f>
        <v>121.99999999999999</v>
      </c>
      <c r="I9" s="232" t="s">
        <v>332</v>
      </c>
      <c r="J9" s="9"/>
      <c r="K9" s="322" t="s">
        <v>131</v>
      </c>
      <c r="L9" s="17">
        <f>D97+C10</f>
        <v>60</v>
      </c>
    </row>
    <row r="10" spans="1:12" s="9" customFormat="1" ht="30" customHeight="1">
      <c r="A10" s="56" t="s">
        <v>133</v>
      </c>
      <c r="B10" s="36">
        <v>20</v>
      </c>
      <c r="C10" s="36">
        <v>20</v>
      </c>
      <c r="D10" s="296"/>
      <c r="E10" s="44"/>
      <c r="F10" s="44"/>
      <c r="G10" s="44"/>
      <c r="H10" s="43"/>
      <c r="I10" s="210"/>
      <c r="K10" s="322" t="s">
        <v>161</v>
      </c>
      <c r="L10" s="17"/>
    </row>
    <row r="11" spans="1:12" ht="30" customHeight="1">
      <c r="A11" s="56" t="s">
        <v>333</v>
      </c>
      <c r="B11" s="36">
        <v>20.4</v>
      </c>
      <c r="C11" s="36">
        <v>20</v>
      </c>
      <c r="D11" s="36"/>
      <c r="E11" s="110"/>
      <c r="F11" s="110"/>
      <c r="G11" s="110"/>
      <c r="H11" s="110"/>
      <c r="I11" s="365"/>
      <c r="K11" s="322" t="s">
        <v>67</v>
      </c>
      <c r="L11" s="62">
        <f>C65</f>
        <v>10</v>
      </c>
    </row>
    <row r="12" spans="1:12" s="9" customFormat="1" ht="30" customHeight="1">
      <c r="A12" s="482" t="s">
        <v>394</v>
      </c>
      <c r="B12" s="478"/>
      <c r="C12" s="478"/>
      <c r="D12" s="23">
        <v>200</v>
      </c>
      <c r="E12" s="44">
        <v>16.8</v>
      </c>
      <c r="F12" s="44">
        <v>18.9</v>
      </c>
      <c r="G12" s="44">
        <v>4.6</v>
      </c>
      <c r="H12" s="43">
        <f>G12*4+F12*9+E12*4</f>
        <v>255.7</v>
      </c>
      <c r="I12" s="276" t="s">
        <v>277</v>
      </c>
      <c r="K12" s="322" t="s">
        <v>66</v>
      </c>
      <c r="L12" s="62"/>
    </row>
    <row r="13" spans="1:12" s="9" customFormat="1" ht="30" customHeight="1">
      <c r="A13" s="53" t="s">
        <v>86</v>
      </c>
      <c r="B13" s="37">
        <v>125</v>
      </c>
      <c r="C13" s="37">
        <v>125</v>
      </c>
      <c r="D13" s="36"/>
      <c r="E13" s="95"/>
      <c r="F13" s="95"/>
      <c r="G13" s="95"/>
      <c r="H13" s="95"/>
      <c r="I13" s="274"/>
      <c r="K13" s="322" t="s">
        <v>27</v>
      </c>
      <c r="L13" s="17">
        <f>C61+C42+C84</f>
        <v>194</v>
      </c>
    </row>
    <row r="14" spans="1:13" s="9" customFormat="1" ht="30" customHeight="1">
      <c r="A14" s="53" t="s">
        <v>52</v>
      </c>
      <c r="B14" s="37">
        <v>47</v>
      </c>
      <c r="C14" s="37">
        <v>47</v>
      </c>
      <c r="D14" s="36"/>
      <c r="E14" s="41"/>
      <c r="F14" s="41"/>
      <c r="G14" s="41"/>
      <c r="H14" s="36"/>
      <c r="I14" s="275"/>
      <c r="J14" s="61"/>
      <c r="K14" s="322" t="s">
        <v>210</v>
      </c>
      <c r="L14" s="62">
        <f>C47+C50+C53+C54+C68+C66+C71+C76+C78+C79+C23+C60+C89</f>
        <v>181.075</v>
      </c>
      <c r="M14" s="61"/>
    </row>
    <row r="15" spans="1:12" s="9" customFormat="1" ht="30" customHeight="1">
      <c r="A15" s="58" t="s">
        <v>38</v>
      </c>
      <c r="B15" s="89">
        <f>B14*460/1000</f>
        <v>21.62</v>
      </c>
      <c r="C15" s="89">
        <f>C14*460/1000</f>
        <v>21.62</v>
      </c>
      <c r="D15" s="139"/>
      <c r="E15" s="44"/>
      <c r="F15" s="44"/>
      <c r="G15" s="44"/>
      <c r="H15" s="43"/>
      <c r="I15" s="275"/>
      <c r="K15" s="322" t="s">
        <v>28</v>
      </c>
      <c r="L15" s="9">
        <f>D100</f>
        <v>160</v>
      </c>
    </row>
    <row r="16" spans="1:12" s="1" customFormat="1" ht="30" customHeight="1">
      <c r="A16" s="58" t="s">
        <v>39</v>
      </c>
      <c r="B16" s="89">
        <f>B14*120/1000</f>
        <v>5.64</v>
      </c>
      <c r="C16" s="89">
        <f>C14*120/1000</f>
        <v>5.64</v>
      </c>
      <c r="D16" s="139"/>
      <c r="E16" s="44"/>
      <c r="F16" s="44"/>
      <c r="G16" s="44"/>
      <c r="H16" s="43"/>
      <c r="I16" s="274"/>
      <c r="J16" s="9"/>
      <c r="K16" s="322" t="s">
        <v>177</v>
      </c>
      <c r="L16" s="17"/>
    </row>
    <row r="17" spans="1:12" s="9" customFormat="1" ht="30" customHeight="1">
      <c r="A17" s="190" t="s">
        <v>155</v>
      </c>
      <c r="B17" s="191">
        <f>B14-B15</f>
        <v>25.38</v>
      </c>
      <c r="C17" s="191">
        <f>C14-C15</f>
        <v>25.38</v>
      </c>
      <c r="D17" s="192"/>
      <c r="E17" s="193"/>
      <c r="F17" s="193"/>
      <c r="G17" s="193"/>
      <c r="H17" s="264"/>
      <c r="I17" s="274"/>
      <c r="K17" s="322" t="s">
        <v>211</v>
      </c>
      <c r="L17" s="17">
        <f>C32+C82</f>
        <v>16</v>
      </c>
    </row>
    <row r="18" spans="1:12" s="9" customFormat="1" ht="30" customHeight="1">
      <c r="A18" s="190" t="s">
        <v>156</v>
      </c>
      <c r="B18" s="191">
        <f>B14-B16</f>
        <v>41.36</v>
      </c>
      <c r="C18" s="191">
        <f>C14-C16</f>
        <v>41.36</v>
      </c>
      <c r="D18" s="192"/>
      <c r="E18" s="193"/>
      <c r="F18" s="193"/>
      <c r="G18" s="193"/>
      <c r="H18" s="264"/>
      <c r="I18" s="274"/>
      <c r="K18" s="322" t="s">
        <v>375</v>
      </c>
      <c r="L18" s="1">
        <f>B92</f>
        <v>200</v>
      </c>
    </row>
    <row r="19" spans="1:12" s="9" customFormat="1" ht="30" customHeight="1">
      <c r="A19" s="53" t="s">
        <v>11</v>
      </c>
      <c r="B19" s="36">
        <v>3</v>
      </c>
      <c r="C19" s="36">
        <v>3</v>
      </c>
      <c r="D19" s="36"/>
      <c r="E19" s="95"/>
      <c r="F19" s="95"/>
      <c r="G19" s="95"/>
      <c r="H19" s="296"/>
      <c r="I19" s="274"/>
      <c r="K19" s="337" t="s">
        <v>29</v>
      </c>
      <c r="L19" s="1">
        <f>C11</f>
        <v>20</v>
      </c>
    </row>
    <row r="20" spans="1:12" ht="30" customHeight="1">
      <c r="A20" s="53" t="s">
        <v>117</v>
      </c>
      <c r="B20" s="36"/>
      <c r="C20" s="36">
        <v>165</v>
      </c>
      <c r="D20" s="36"/>
      <c r="E20" s="95"/>
      <c r="F20" s="95"/>
      <c r="G20" s="95"/>
      <c r="H20" s="296"/>
      <c r="I20" s="274"/>
      <c r="J20" s="15"/>
      <c r="K20" s="322" t="s">
        <v>71</v>
      </c>
      <c r="L20" s="63"/>
    </row>
    <row r="21" spans="1:12" ht="30" customHeight="1">
      <c r="A21" s="53" t="s">
        <v>37</v>
      </c>
      <c r="B21" s="36">
        <v>5</v>
      </c>
      <c r="C21" s="36">
        <v>5</v>
      </c>
      <c r="D21" s="36"/>
      <c r="E21" s="95"/>
      <c r="F21" s="95"/>
      <c r="G21" s="44"/>
      <c r="H21" s="294"/>
      <c r="I21" s="274"/>
      <c r="J21" s="15"/>
      <c r="K21" s="322" t="s">
        <v>189</v>
      </c>
      <c r="L21" s="63"/>
    </row>
    <row r="22" spans="1:12" ht="30" customHeight="1">
      <c r="A22" s="124" t="s">
        <v>278</v>
      </c>
      <c r="B22" s="36"/>
      <c r="C22" s="36"/>
      <c r="D22" s="23">
        <v>30</v>
      </c>
      <c r="E22" s="95"/>
      <c r="F22" s="95"/>
      <c r="G22" s="44"/>
      <c r="H22" s="294"/>
      <c r="I22" s="276" t="s">
        <v>280</v>
      </c>
      <c r="J22" s="15"/>
      <c r="K22" s="322" t="s">
        <v>190</v>
      </c>
      <c r="L22" s="9">
        <f>C31</f>
        <v>4</v>
      </c>
    </row>
    <row r="23" spans="1:12" s="9" customFormat="1" ht="30" customHeight="1">
      <c r="A23" s="57" t="s">
        <v>50</v>
      </c>
      <c r="B23" s="49">
        <f>C23*1.54</f>
        <v>46.2</v>
      </c>
      <c r="C23" s="153">
        <v>30</v>
      </c>
      <c r="D23" s="153"/>
      <c r="E23" s="109"/>
      <c r="F23" s="109"/>
      <c r="G23" s="109"/>
      <c r="H23" s="88"/>
      <c r="I23" s="274"/>
      <c r="J23" s="15"/>
      <c r="K23" s="338" t="s">
        <v>30</v>
      </c>
      <c r="L23" s="6"/>
    </row>
    <row r="24" spans="1:12" s="9" customFormat="1" ht="30" customHeight="1">
      <c r="A24" s="57" t="s">
        <v>368</v>
      </c>
      <c r="B24" s="49">
        <f>C24*1.05</f>
        <v>31.5</v>
      </c>
      <c r="C24" s="153">
        <v>30</v>
      </c>
      <c r="D24" s="153"/>
      <c r="E24" s="109"/>
      <c r="F24" s="109"/>
      <c r="G24" s="109"/>
      <c r="H24" s="88"/>
      <c r="I24" s="274"/>
      <c r="J24" s="15"/>
      <c r="K24" s="322" t="s">
        <v>179</v>
      </c>
      <c r="L24" s="6">
        <f>C58</f>
        <v>16</v>
      </c>
    </row>
    <row r="25" spans="1:12" s="9" customFormat="1" ht="30" customHeight="1">
      <c r="A25" s="154" t="s">
        <v>118</v>
      </c>
      <c r="B25" s="49">
        <f>C25*1.67</f>
        <v>50.099999999999994</v>
      </c>
      <c r="C25" s="153">
        <v>30</v>
      </c>
      <c r="D25" s="153"/>
      <c r="E25" s="109"/>
      <c r="F25" s="109"/>
      <c r="G25" s="109"/>
      <c r="H25" s="88"/>
      <c r="I25" s="274"/>
      <c r="J25" s="15"/>
      <c r="K25" s="322" t="s">
        <v>181</v>
      </c>
      <c r="L25" s="72"/>
    </row>
    <row r="26" spans="1:12" s="9" customFormat="1" ht="30" customHeight="1">
      <c r="A26" s="481" t="s">
        <v>70</v>
      </c>
      <c r="B26" s="481"/>
      <c r="C26" s="481"/>
      <c r="D26" s="481"/>
      <c r="E26" s="481"/>
      <c r="F26" s="481"/>
      <c r="G26" s="481"/>
      <c r="H26" s="481"/>
      <c r="I26" s="481"/>
      <c r="J26" s="15"/>
      <c r="K26" s="322" t="s">
        <v>180</v>
      </c>
      <c r="L26" s="72"/>
    </row>
    <row r="27" spans="1:12" s="9" customFormat="1" ht="30" customHeight="1">
      <c r="A27" s="482" t="s">
        <v>377</v>
      </c>
      <c r="B27" s="482"/>
      <c r="C27" s="482"/>
      <c r="D27" s="26">
        <v>30</v>
      </c>
      <c r="E27" s="45"/>
      <c r="F27" s="45"/>
      <c r="G27" s="45"/>
      <c r="H27" s="43"/>
      <c r="I27" s="235" t="s">
        <v>376</v>
      </c>
      <c r="J27" s="15"/>
      <c r="K27" s="322" t="s">
        <v>182</v>
      </c>
      <c r="L27" s="72">
        <f>C73</f>
        <v>111</v>
      </c>
    </row>
    <row r="28" spans="1:12" ht="30" customHeight="1">
      <c r="A28" s="56" t="s">
        <v>355</v>
      </c>
      <c r="B28" s="41">
        <f>C28*1.05</f>
        <v>36.75</v>
      </c>
      <c r="C28" s="36">
        <v>35</v>
      </c>
      <c r="D28" s="36"/>
      <c r="E28" s="41"/>
      <c r="F28" s="41"/>
      <c r="G28" s="41"/>
      <c r="H28" s="37"/>
      <c r="I28" s="283"/>
      <c r="J28" s="70"/>
      <c r="K28" s="327" t="s">
        <v>82</v>
      </c>
      <c r="L28" s="72">
        <f>C14+C33</f>
        <v>97</v>
      </c>
    </row>
    <row r="29" spans="1:12" ht="30" customHeight="1">
      <c r="A29" s="56" t="s">
        <v>372</v>
      </c>
      <c r="B29" s="41">
        <f>C29*1.05</f>
        <v>36.75</v>
      </c>
      <c r="C29" s="36">
        <v>35</v>
      </c>
      <c r="D29" s="36"/>
      <c r="E29" s="41"/>
      <c r="F29" s="41"/>
      <c r="G29" s="41"/>
      <c r="H29" s="37"/>
      <c r="I29" s="283"/>
      <c r="J29" s="70"/>
      <c r="K29" s="329" t="s">
        <v>183</v>
      </c>
      <c r="L29" s="72">
        <f>C38</f>
        <v>125</v>
      </c>
    </row>
    <row r="30" spans="1:12" ht="30" customHeight="1">
      <c r="A30" s="477" t="s">
        <v>268</v>
      </c>
      <c r="B30" s="477"/>
      <c r="C30" s="477"/>
      <c r="D30" s="23">
        <v>200</v>
      </c>
      <c r="E30" s="44">
        <v>1.9</v>
      </c>
      <c r="F30" s="44">
        <v>1.7</v>
      </c>
      <c r="G30" s="44">
        <v>17</v>
      </c>
      <c r="H30" s="43">
        <f>G30*4+F30*9+E30*4</f>
        <v>90.89999999999999</v>
      </c>
      <c r="I30" s="240" t="s">
        <v>269</v>
      </c>
      <c r="J30" s="15"/>
      <c r="K30" s="322" t="s">
        <v>184</v>
      </c>
      <c r="L30" s="72"/>
    </row>
    <row r="31" spans="1:12" s="9" customFormat="1" ht="30" customHeight="1">
      <c r="A31" s="53" t="s">
        <v>111</v>
      </c>
      <c r="B31" s="36">
        <v>4</v>
      </c>
      <c r="C31" s="36">
        <v>4</v>
      </c>
      <c r="D31" s="36"/>
      <c r="E31" s="95"/>
      <c r="F31" s="95"/>
      <c r="G31" s="95"/>
      <c r="H31" s="296"/>
      <c r="I31" s="274"/>
      <c r="J31" s="15"/>
      <c r="K31" s="322" t="s">
        <v>31</v>
      </c>
      <c r="L31" s="6">
        <f>C70</f>
        <v>5</v>
      </c>
    </row>
    <row r="32" spans="1:12" s="9" customFormat="1" ht="30" customHeight="1">
      <c r="A32" s="53" t="s">
        <v>4</v>
      </c>
      <c r="B32" s="29">
        <v>15</v>
      </c>
      <c r="C32" s="29">
        <v>15</v>
      </c>
      <c r="D32" s="29"/>
      <c r="E32" s="95"/>
      <c r="F32" s="95"/>
      <c r="G32" s="95"/>
      <c r="H32" s="296"/>
      <c r="I32" s="274"/>
      <c r="J32" s="15"/>
      <c r="K32" s="322" t="s">
        <v>185</v>
      </c>
      <c r="L32" s="1"/>
    </row>
    <row r="33" spans="1:13" s="9" customFormat="1" ht="30" customHeight="1">
      <c r="A33" s="53" t="s">
        <v>52</v>
      </c>
      <c r="B33" s="36">
        <v>50</v>
      </c>
      <c r="C33" s="36">
        <v>50</v>
      </c>
      <c r="D33" s="36"/>
      <c r="E33" s="41"/>
      <c r="F33" s="41"/>
      <c r="G33" s="41"/>
      <c r="H33" s="36"/>
      <c r="I33" s="275"/>
      <c r="J33" s="70"/>
      <c r="K33" s="322" t="s">
        <v>32</v>
      </c>
      <c r="L33" s="6">
        <f>C69+C21+C90</f>
        <v>15</v>
      </c>
      <c r="M33" s="61"/>
    </row>
    <row r="34" spans="1:12" s="9" customFormat="1" ht="30" customHeight="1">
      <c r="A34" s="58" t="s">
        <v>38</v>
      </c>
      <c r="B34" s="89">
        <f>B33*460/1000</f>
        <v>23</v>
      </c>
      <c r="C34" s="89">
        <f>C33*460/1000</f>
        <v>23</v>
      </c>
      <c r="D34" s="139"/>
      <c r="E34" s="44"/>
      <c r="F34" s="44"/>
      <c r="G34" s="44"/>
      <c r="H34" s="43"/>
      <c r="I34" s="275"/>
      <c r="J34" s="15"/>
      <c r="K34" s="322" t="s">
        <v>33</v>
      </c>
      <c r="L34" s="358">
        <f>C81+C19+C56</f>
        <v>11</v>
      </c>
    </row>
    <row r="35" spans="1:12" s="9" customFormat="1" ht="30" customHeight="1">
      <c r="A35" s="58" t="s">
        <v>39</v>
      </c>
      <c r="B35" s="89">
        <f>B33*120/1000</f>
        <v>6</v>
      </c>
      <c r="C35" s="89">
        <f>C33*120/1000</f>
        <v>6</v>
      </c>
      <c r="D35" s="139"/>
      <c r="E35" s="44"/>
      <c r="F35" s="44"/>
      <c r="G35" s="44"/>
      <c r="H35" s="43"/>
      <c r="I35" s="275"/>
      <c r="J35" s="15"/>
      <c r="K35" s="322" t="s">
        <v>186</v>
      </c>
      <c r="L35" s="6">
        <f>C13</f>
        <v>125</v>
      </c>
    </row>
    <row r="36" spans="1:12" s="9" customFormat="1" ht="30" customHeight="1">
      <c r="A36" s="190" t="s">
        <v>155</v>
      </c>
      <c r="B36" s="191">
        <f>B33-B34</f>
        <v>27</v>
      </c>
      <c r="C36" s="191">
        <f>C33-C34</f>
        <v>27</v>
      </c>
      <c r="D36" s="192"/>
      <c r="E36" s="193"/>
      <c r="F36" s="193"/>
      <c r="G36" s="193"/>
      <c r="H36" s="264"/>
      <c r="I36" s="275"/>
      <c r="J36" s="15"/>
      <c r="K36" s="322" t="s">
        <v>352</v>
      </c>
      <c r="L36" s="15"/>
    </row>
    <row r="37" spans="1:12" s="9" customFormat="1" ht="30" customHeight="1">
      <c r="A37" s="190" t="s">
        <v>156</v>
      </c>
      <c r="B37" s="191">
        <f>B33-B35</f>
        <v>44</v>
      </c>
      <c r="C37" s="191">
        <f>C33-C35</f>
        <v>44</v>
      </c>
      <c r="D37" s="192"/>
      <c r="E37" s="193"/>
      <c r="F37" s="193"/>
      <c r="G37" s="193"/>
      <c r="H37" s="264"/>
      <c r="I37" s="274"/>
      <c r="J37" s="15"/>
      <c r="K37" s="322" t="s">
        <v>188</v>
      </c>
      <c r="L37" s="15">
        <v>1.5</v>
      </c>
    </row>
    <row r="38" spans="1:12" s="9" customFormat="1" ht="30" customHeight="1">
      <c r="A38" s="212" t="s">
        <v>378</v>
      </c>
      <c r="B38" s="29">
        <v>129</v>
      </c>
      <c r="C38" s="29">
        <v>125</v>
      </c>
      <c r="D38" s="157">
        <v>125</v>
      </c>
      <c r="E38" s="151">
        <v>2.5</v>
      </c>
      <c r="F38" s="151">
        <v>3.1</v>
      </c>
      <c r="G38" s="151">
        <v>4.4</v>
      </c>
      <c r="H38" s="43">
        <f>G38*4+F38*9+E38*4</f>
        <v>55.5</v>
      </c>
      <c r="I38" s="261" t="s">
        <v>252</v>
      </c>
      <c r="J38" s="15"/>
      <c r="K38" s="322" t="s">
        <v>187</v>
      </c>
      <c r="L38" s="15">
        <v>1</v>
      </c>
    </row>
    <row r="39" spans="1:12" ht="30" customHeight="1">
      <c r="A39" s="212" t="s">
        <v>26</v>
      </c>
      <c r="B39" s="36">
        <v>20</v>
      </c>
      <c r="C39" s="36">
        <v>20</v>
      </c>
      <c r="D39" s="23">
        <v>20</v>
      </c>
      <c r="E39" s="110">
        <v>0.7</v>
      </c>
      <c r="F39" s="110">
        <v>0.2</v>
      </c>
      <c r="G39" s="110">
        <v>9.4</v>
      </c>
      <c r="H39" s="256">
        <v>41.3</v>
      </c>
      <c r="J39" s="70"/>
      <c r="K39" s="363"/>
      <c r="L39" s="70"/>
    </row>
    <row r="40" spans="1:12" s="9" customFormat="1" ht="30" customHeight="1">
      <c r="A40" s="479" t="s">
        <v>58</v>
      </c>
      <c r="B40" s="479"/>
      <c r="C40" s="479"/>
      <c r="D40" s="263">
        <f>D41+265+140+D83+D92+D100</f>
        <v>975</v>
      </c>
      <c r="E40" s="99">
        <f>E41+E57+E72+E83+E92+E97+E99+E100</f>
        <v>24.166666666666664</v>
      </c>
      <c r="F40" s="99">
        <f>F41+F57+F72+F83+F92+F97+F99+F100</f>
        <v>21.3</v>
      </c>
      <c r="G40" s="99">
        <f>G41+G57+G72+G83+G92+G97+G99+G100</f>
        <v>125.76666666666667</v>
      </c>
      <c r="H40" s="96">
        <f>H41+H57+H72+H83+H92+H97+H99+H100</f>
        <v>789.1666666666667</v>
      </c>
      <c r="I40" s="274"/>
      <c r="J40" s="15"/>
      <c r="K40" s="339"/>
      <c r="L40" s="15"/>
    </row>
    <row r="41" spans="1:12" s="9" customFormat="1" ht="30" customHeight="1">
      <c r="A41" s="482" t="s">
        <v>335</v>
      </c>
      <c r="B41" s="482"/>
      <c r="C41" s="482"/>
      <c r="D41" s="23">
        <v>60</v>
      </c>
      <c r="E41" s="44">
        <v>1.1</v>
      </c>
      <c r="F41" s="44">
        <v>3.1</v>
      </c>
      <c r="G41" s="44">
        <v>3.7</v>
      </c>
      <c r="H41" s="43">
        <f>G41*4+F41*9+E41*4</f>
        <v>47.1</v>
      </c>
      <c r="I41" s="274"/>
      <c r="J41" s="15"/>
      <c r="K41" s="339"/>
      <c r="L41" s="15"/>
    </row>
    <row r="42" spans="1:12" s="9" customFormat="1" ht="30" customHeight="1">
      <c r="A42" s="51" t="s">
        <v>12</v>
      </c>
      <c r="B42" s="22">
        <f>C42*1.33</f>
        <v>21.28</v>
      </c>
      <c r="C42" s="35">
        <v>16</v>
      </c>
      <c r="D42" s="36"/>
      <c r="E42" s="95"/>
      <c r="F42" s="95"/>
      <c r="G42" s="95"/>
      <c r="H42" s="296"/>
      <c r="I42" s="261" t="s">
        <v>336</v>
      </c>
      <c r="J42" s="15"/>
      <c r="K42" s="339"/>
      <c r="L42" s="15"/>
    </row>
    <row r="43" spans="1:12" s="9" customFormat="1" ht="30" customHeight="1">
      <c r="A43" s="51" t="s">
        <v>13</v>
      </c>
      <c r="B43" s="22">
        <f>C43*1.43</f>
        <v>22.88</v>
      </c>
      <c r="C43" s="35">
        <v>16</v>
      </c>
      <c r="D43" s="36"/>
      <c r="E43" s="95"/>
      <c r="F43" s="95"/>
      <c r="G43" s="95"/>
      <c r="H43" s="95"/>
      <c r="I43" s="274"/>
      <c r="J43" s="15"/>
      <c r="K43" s="339"/>
      <c r="L43" s="15"/>
    </row>
    <row r="44" spans="1:12" s="9" customFormat="1" ht="30" customHeight="1">
      <c r="A44" s="53" t="s">
        <v>14</v>
      </c>
      <c r="B44" s="22">
        <f>C44*1.54</f>
        <v>24.64</v>
      </c>
      <c r="C44" s="35">
        <v>16</v>
      </c>
      <c r="D44" s="36"/>
      <c r="E44" s="95"/>
      <c r="F44" s="95"/>
      <c r="G44" s="95"/>
      <c r="H44" s="43"/>
      <c r="I44" s="274"/>
      <c r="J44" s="15"/>
      <c r="K44" s="339"/>
      <c r="L44" s="15"/>
    </row>
    <row r="45" spans="1:12" s="9" customFormat="1" ht="30" customHeight="1">
      <c r="A45" s="53" t="s">
        <v>15</v>
      </c>
      <c r="B45" s="22">
        <f>C45*1.67</f>
        <v>26.72</v>
      </c>
      <c r="C45" s="35">
        <v>16</v>
      </c>
      <c r="D45" s="36"/>
      <c r="E45" s="95"/>
      <c r="F45" s="95"/>
      <c r="G45" s="95"/>
      <c r="H45" s="43"/>
      <c r="I45" s="274"/>
      <c r="J45" s="15"/>
      <c r="K45" s="339"/>
      <c r="L45" s="15"/>
    </row>
    <row r="46" spans="1:12" ht="30" customHeight="1">
      <c r="A46" s="53" t="s">
        <v>287</v>
      </c>
      <c r="B46" s="22"/>
      <c r="C46" s="35">
        <v>15</v>
      </c>
      <c r="D46" s="36"/>
      <c r="E46" s="95"/>
      <c r="F46" s="95"/>
      <c r="G46" s="95"/>
      <c r="H46" s="43"/>
      <c r="I46" s="274"/>
      <c r="J46" s="15"/>
      <c r="K46" s="339"/>
      <c r="L46" s="15"/>
    </row>
    <row r="47" spans="1:12" s="9" customFormat="1" ht="30" customHeight="1">
      <c r="A47" s="51" t="s">
        <v>17</v>
      </c>
      <c r="B47" s="35">
        <f>C47*1.25</f>
        <v>15</v>
      </c>
      <c r="C47" s="35">
        <v>12</v>
      </c>
      <c r="D47" s="36"/>
      <c r="E47" s="95"/>
      <c r="F47" s="95"/>
      <c r="G47" s="95"/>
      <c r="H47" s="95"/>
      <c r="I47" s="274"/>
      <c r="J47" s="15"/>
      <c r="K47" s="339"/>
      <c r="L47" s="15"/>
    </row>
    <row r="48" spans="1:12" s="9" customFormat="1" ht="30" customHeight="1">
      <c r="A48" s="51" t="s">
        <v>16</v>
      </c>
      <c r="B48" s="35">
        <f>C48*1.33</f>
        <v>15.96</v>
      </c>
      <c r="C48" s="35">
        <v>12</v>
      </c>
      <c r="D48" s="36"/>
      <c r="E48" s="95"/>
      <c r="F48" s="95"/>
      <c r="G48" s="95"/>
      <c r="H48" s="87"/>
      <c r="I48" s="274"/>
      <c r="J48" s="15"/>
      <c r="K48" s="339"/>
      <c r="L48" s="15"/>
    </row>
    <row r="49" spans="1:12" s="9" customFormat="1" ht="30" customHeight="1">
      <c r="A49" s="51" t="s">
        <v>334</v>
      </c>
      <c r="B49" s="35"/>
      <c r="C49" s="35">
        <v>10</v>
      </c>
      <c r="D49" s="36"/>
      <c r="E49" s="95"/>
      <c r="F49" s="95"/>
      <c r="G49" s="95"/>
      <c r="H49" s="87"/>
      <c r="I49" s="274"/>
      <c r="J49" s="15"/>
      <c r="K49" s="339"/>
      <c r="L49" s="15"/>
    </row>
    <row r="50" spans="1:12" s="9" customFormat="1" ht="30" customHeight="1">
      <c r="A50" s="51" t="s">
        <v>61</v>
      </c>
      <c r="B50" s="40">
        <f>C50*1.25</f>
        <v>11.25</v>
      </c>
      <c r="C50" s="35">
        <v>9</v>
      </c>
      <c r="D50" s="36"/>
      <c r="E50" s="95"/>
      <c r="F50" s="95"/>
      <c r="G50" s="95"/>
      <c r="H50" s="95"/>
      <c r="I50" s="274"/>
      <c r="J50" s="15"/>
      <c r="K50" s="339"/>
      <c r="L50" s="15"/>
    </row>
    <row r="51" spans="1:12" s="9" customFormat="1" ht="30" customHeight="1">
      <c r="A51" s="51" t="s">
        <v>16</v>
      </c>
      <c r="B51" s="35">
        <f>C51*1.33</f>
        <v>11.97</v>
      </c>
      <c r="C51" s="35">
        <v>9</v>
      </c>
      <c r="D51" s="36"/>
      <c r="E51" s="95"/>
      <c r="F51" s="95"/>
      <c r="G51" s="95"/>
      <c r="H51" s="87"/>
      <c r="I51" s="274"/>
      <c r="J51" s="15"/>
      <c r="K51" s="339"/>
      <c r="L51" s="15"/>
    </row>
    <row r="52" spans="1:12" s="9" customFormat="1" ht="30" customHeight="1">
      <c r="A52" s="51" t="s">
        <v>337</v>
      </c>
      <c r="B52" s="35"/>
      <c r="C52" s="35">
        <v>8</v>
      </c>
      <c r="D52" s="36"/>
      <c r="E52" s="95"/>
      <c r="F52" s="95"/>
      <c r="G52" s="95"/>
      <c r="H52" s="87"/>
      <c r="I52" s="274"/>
      <c r="J52" s="15"/>
      <c r="K52" s="339"/>
      <c r="L52" s="15"/>
    </row>
    <row r="53" spans="1:12" s="9" customFormat="1" ht="30" customHeight="1">
      <c r="A53" s="51" t="s">
        <v>112</v>
      </c>
      <c r="B53" s="35">
        <f>C53*1.82</f>
        <v>32.76</v>
      </c>
      <c r="C53" s="35">
        <v>18</v>
      </c>
      <c r="D53" s="36"/>
      <c r="E53" s="95"/>
      <c r="F53" s="95"/>
      <c r="G53" s="95"/>
      <c r="H53" s="87"/>
      <c r="I53" s="274"/>
      <c r="J53" s="15"/>
      <c r="K53" s="339"/>
      <c r="L53" s="15"/>
    </row>
    <row r="54" spans="1:12" s="9" customFormat="1" ht="30" customHeight="1">
      <c r="A54" s="57" t="s">
        <v>50</v>
      </c>
      <c r="B54" s="35">
        <f>C54*1.54</f>
        <v>9.24</v>
      </c>
      <c r="C54" s="35">
        <v>6</v>
      </c>
      <c r="D54" s="36"/>
      <c r="E54" s="95"/>
      <c r="F54" s="95"/>
      <c r="G54" s="95"/>
      <c r="H54" s="87"/>
      <c r="I54" s="274"/>
      <c r="J54" s="15"/>
      <c r="K54" s="339"/>
      <c r="L54" s="15"/>
    </row>
    <row r="55" spans="1:12" s="9" customFormat="1" ht="30" customHeight="1">
      <c r="A55" s="57" t="s">
        <v>368</v>
      </c>
      <c r="B55" s="180">
        <f>C55*1.05</f>
        <v>6.300000000000001</v>
      </c>
      <c r="C55" s="35">
        <v>6</v>
      </c>
      <c r="D55" s="36"/>
      <c r="E55" s="95"/>
      <c r="F55" s="95"/>
      <c r="G55" s="95"/>
      <c r="H55" s="87"/>
      <c r="I55" s="274"/>
      <c r="J55" s="15"/>
      <c r="K55" s="339"/>
      <c r="L55" s="15"/>
    </row>
    <row r="56" spans="1:12" s="9" customFormat="1" ht="30" customHeight="1">
      <c r="A56" s="53" t="s">
        <v>123</v>
      </c>
      <c r="B56" s="36">
        <v>3</v>
      </c>
      <c r="C56" s="36">
        <v>3</v>
      </c>
      <c r="D56" s="36"/>
      <c r="E56" s="95"/>
      <c r="F56" s="95"/>
      <c r="G56" s="44"/>
      <c r="H56" s="294"/>
      <c r="I56" s="274"/>
      <c r="J56" s="15"/>
      <c r="K56" s="339"/>
      <c r="L56" s="15"/>
    </row>
    <row r="57" spans="1:12" s="9" customFormat="1" ht="30" customHeight="1">
      <c r="A57" s="492" t="s">
        <v>395</v>
      </c>
      <c r="B57" s="489"/>
      <c r="C57" s="489"/>
      <c r="D57" s="21" t="s">
        <v>158</v>
      </c>
      <c r="E57" s="380">
        <v>4.8</v>
      </c>
      <c r="F57" s="380">
        <v>5.7</v>
      </c>
      <c r="G57" s="380">
        <v>15.5</v>
      </c>
      <c r="H57" s="400">
        <f>E57*4+F57*9+G57*4</f>
        <v>132.5</v>
      </c>
      <c r="I57" s="261" t="s">
        <v>396</v>
      </c>
      <c r="J57" s="15"/>
      <c r="K57" s="339"/>
      <c r="L57" s="15"/>
    </row>
    <row r="58" spans="1:12" s="9" customFormat="1" ht="30" customHeight="1">
      <c r="A58" s="86" t="s">
        <v>88</v>
      </c>
      <c r="B58" s="27">
        <f>C58*1.36</f>
        <v>21.76</v>
      </c>
      <c r="C58" s="5">
        <v>16</v>
      </c>
      <c r="D58" s="237"/>
      <c r="E58" s="85"/>
      <c r="F58" s="85"/>
      <c r="G58" s="85"/>
      <c r="H58" s="258"/>
      <c r="I58" s="403"/>
      <c r="J58" s="15"/>
      <c r="K58" s="339"/>
      <c r="L58" s="15"/>
    </row>
    <row r="59" spans="1:12" s="9" customFormat="1" ht="30" customHeight="1">
      <c r="A59" s="86" t="s">
        <v>89</v>
      </c>
      <c r="B59" s="27">
        <f>C59*1.18</f>
        <v>18.88</v>
      </c>
      <c r="C59" s="5">
        <v>16</v>
      </c>
      <c r="D59" s="237"/>
      <c r="E59" s="85"/>
      <c r="F59" s="85"/>
      <c r="G59" s="85"/>
      <c r="H59" s="258"/>
      <c r="I59" s="403"/>
      <c r="J59" s="15"/>
      <c r="K59" s="339"/>
      <c r="L59" s="15"/>
    </row>
    <row r="60" spans="1:12" s="9" customFormat="1" ht="30" customHeight="1">
      <c r="A60" s="56" t="s">
        <v>255</v>
      </c>
      <c r="B60" s="37">
        <f>C60*1.25</f>
        <v>40</v>
      </c>
      <c r="C60" s="37">
        <v>32</v>
      </c>
      <c r="D60" s="247"/>
      <c r="E60" s="85"/>
      <c r="F60" s="85"/>
      <c r="G60" s="85"/>
      <c r="H60" s="258"/>
      <c r="I60" s="404"/>
      <c r="J60" s="15"/>
      <c r="K60" s="339"/>
      <c r="L60" s="15"/>
    </row>
    <row r="61" spans="1:12" s="9" customFormat="1" ht="30" customHeight="1">
      <c r="A61" s="56" t="s">
        <v>12</v>
      </c>
      <c r="B61" s="37">
        <f>C61*1.33</f>
        <v>37.24</v>
      </c>
      <c r="C61" s="36">
        <v>28</v>
      </c>
      <c r="D61" s="5"/>
      <c r="E61" s="95"/>
      <c r="F61" s="95"/>
      <c r="G61" s="95"/>
      <c r="H61" s="87"/>
      <c r="I61" s="405"/>
      <c r="J61" s="15"/>
      <c r="K61" s="339"/>
      <c r="L61" s="15"/>
    </row>
    <row r="62" spans="1:12" s="9" customFormat="1" ht="30" customHeight="1">
      <c r="A62" s="56" t="s">
        <v>13</v>
      </c>
      <c r="B62" s="37">
        <f>C62*1.43</f>
        <v>40.04</v>
      </c>
      <c r="C62" s="36">
        <v>28</v>
      </c>
      <c r="D62" s="5"/>
      <c r="E62" s="95"/>
      <c r="F62" s="95"/>
      <c r="G62" s="95"/>
      <c r="H62" s="87"/>
      <c r="I62" s="405"/>
      <c r="J62" s="15"/>
      <c r="K62" s="339"/>
      <c r="L62" s="15"/>
    </row>
    <row r="63" spans="1:12" s="9" customFormat="1" ht="30" customHeight="1">
      <c r="A63" s="56" t="s">
        <v>14</v>
      </c>
      <c r="B63" s="37">
        <f>C63*1.54</f>
        <v>43.120000000000005</v>
      </c>
      <c r="C63" s="36">
        <v>28</v>
      </c>
      <c r="D63" s="5"/>
      <c r="E63" s="95"/>
      <c r="F63" s="95"/>
      <c r="G63" s="95"/>
      <c r="H63" s="87"/>
      <c r="I63" s="405"/>
      <c r="J63" s="15"/>
      <c r="K63" s="339"/>
      <c r="L63" s="15"/>
    </row>
    <row r="64" spans="1:12" s="9" customFormat="1" ht="30" customHeight="1">
      <c r="A64" s="56" t="s">
        <v>15</v>
      </c>
      <c r="B64" s="37">
        <f>C64*1.67</f>
        <v>46.76</v>
      </c>
      <c r="C64" s="36">
        <v>28</v>
      </c>
      <c r="D64" s="5"/>
      <c r="E64" s="95"/>
      <c r="F64" s="95"/>
      <c r="G64" s="95"/>
      <c r="H64" s="87"/>
      <c r="I64" s="405"/>
      <c r="J64" s="15"/>
      <c r="K64" s="339"/>
      <c r="L64" s="15"/>
    </row>
    <row r="65" spans="1:12" s="9" customFormat="1" ht="30" customHeight="1">
      <c r="A65" s="56" t="s">
        <v>397</v>
      </c>
      <c r="B65" s="37">
        <v>10</v>
      </c>
      <c r="C65" s="36">
        <v>10</v>
      </c>
      <c r="D65" s="5"/>
      <c r="E65" s="95"/>
      <c r="F65" s="95"/>
      <c r="G65" s="95"/>
      <c r="H65" s="87"/>
      <c r="I65" s="405"/>
      <c r="J65" s="15"/>
      <c r="K65" s="339"/>
      <c r="L65" s="15"/>
    </row>
    <row r="66" spans="1:12" s="9" customFormat="1" ht="30" customHeight="1">
      <c r="A66" s="56" t="s">
        <v>383</v>
      </c>
      <c r="B66" s="41">
        <f>C66*1.25</f>
        <v>12.5</v>
      </c>
      <c r="C66" s="36">
        <v>10</v>
      </c>
      <c r="D66" s="5"/>
      <c r="E66" s="95"/>
      <c r="F66" s="95"/>
      <c r="G66" s="95"/>
      <c r="H66" s="87"/>
      <c r="I66" s="405"/>
      <c r="J66" s="15"/>
      <c r="K66" s="339"/>
      <c r="L66" s="15"/>
    </row>
    <row r="67" spans="1:12" s="9" customFormat="1" ht="30" customHeight="1">
      <c r="A67" s="56" t="s">
        <v>16</v>
      </c>
      <c r="B67" s="41">
        <f>C67*1.33</f>
        <v>13.3</v>
      </c>
      <c r="C67" s="36">
        <v>10</v>
      </c>
      <c r="D67" s="5"/>
      <c r="E67" s="95"/>
      <c r="F67" s="95"/>
      <c r="G67" s="95"/>
      <c r="H67" s="87"/>
      <c r="I67" s="405"/>
      <c r="J67" s="15"/>
      <c r="K67" s="339"/>
      <c r="L67" s="15"/>
    </row>
    <row r="68" spans="1:12" s="9" customFormat="1" ht="30" customHeight="1">
      <c r="A68" s="56" t="s">
        <v>18</v>
      </c>
      <c r="B68" s="37">
        <f>C68*1.19</f>
        <v>11.899999999999999</v>
      </c>
      <c r="C68" s="36">
        <v>10</v>
      </c>
      <c r="D68" s="5"/>
      <c r="E68" s="95"/>
      <c r="F68" s="95"/>
      <c r="G68" s="95"/>
      <c r="H68" s="87"/>
      <c r="I68" s="405"/>
      <c r="J68" s="15"/>
      <c r="K68" s="339"/>
      <c r="L68" s="15"/>
    </row>
    <row r="69" spans="1:12" ht="30" customHeight="1">
      <c r="A69" s="53" t="s">
        <v>19</v>
      </c>
      <c r="B69" s="37">
        <v>5</v>
      </c>
      <c r="C69" s="37">
        <v>5</v>
      </c>
      <c r="D69" s="36"/>
      <c r="E69" s="41"/>
      <c r="F69" s="41"/>
      <c r="G69" s="41"/>
      <c r="H69" s="37"/>
      <c r="I69" s="387"/>
      <c r="J69" s="70"/>
      <c r="K69" s="363"/>
      <c r="L69" s="70"/>
    </row>
    <row r="70" spans="1:12" s="9" customFormat="1" ht="30" customHeight="1">
      <c r="A70" s="51" t="s">
        <v>57</v>
      </c>
      <c r="B70" s="5">
        <v>5</v>
      </c>
      <c r="C70" s="5">
        <v>5</v>
      </c>
      <c r="D70" s="5"/>
      <c r="E70" s="95"/>
      <c r="F70" s="95"/>
      <c r="G70" s="95"/>
      <c r="H70" s="87"/>
      <c r="I70" s="405"/>
      <c r="J70" s="15"/>
      <c r="K70" s="339"/>
      <c r="L70" s="15"/>
    </row>
    <row r="71" spans="1:12" s="9" customFormat="1" ht="30" customHeight="1">
      <c r="A71" s="53" t="s">
        <v>73</v>
      </c>
      <c r="B71" s="40">
        <v>0.2</v>
      </c>
      <c r="C71" s="40">
        <v>0.2</v>
      </c>
      <c r="D71" s="237"/>
      <c r="E71" s="85"/>
      <c r="F71" s="85"/>
      <c r="G71" s="85"/>
      <c r="H71" s="258"/>
      <c r="I71" s="403"/>
      <c r="J71" s="15"/>
      <c r="K71" s="339"/>
      <c r="L71" s="15"/>
    </row>
    <row r="72" spans="1:12" s="9" customFormat="1" ht="30" customHeight="1">
      <c r="A72" s="493" t="s">
        <v>315</v>
      </c>
      <c r="B72" s="493"/>
      <c r="C72" s="493"/>
      <c r="D72" s="148" t="s">
        <v>265</v>
      </c>
      <c r="E72" s="105">
        <v>12.9</v>
      </c>
      <c r="F72" s="105">
        <v>6.4</v>
      </c>
      <c r="G72" s="105">
        <v>5.7</v>
      </c>
      <c r="H72" s="43">
        <f>G72*4+F72*9+E72*4</f>
        <v>132</v>
      </c>
      <c r="I72" s="276" t="s">
        <v>316</v>
      </c>
      <c r="J72" s="15"/>
      <c r="K72" s="339"/>
      <c r="L72" s="15"/>
    </row>
    <row r="73" spans="1:12" s="9" customFormat="1" ht="30" customHeight="1">
      <c r="A73" s="55" t="s">
        <v>85</v>
      </c>
      <c r="B73" s="406">
        <f>C73*1.35</f>
        <v>149.85000000000002</v>
      </c>
      <c r="C73" s="47">
        <v>111</v>
      </c>
      <c r="D73" s="50"/>
      <c r="E73" s="109"/>
      <c r="F73" s="109"/>
      <c r="G73" s="109"/>
      <c r="H73" s="88"/>
      <c r="I73" s="274"/>
      <c r="J73" s="15"/>
      <c r="K73" s="339"/>
      <c r="L73" s="15"/>
    </row>
    <row r="74" spans="1:12" s="9" customFormat="1" ht="30" customHeight="1">
      <c r="A74" s="115" t="s">
        <v>149</v>
      </c>
      <c r="B74" s="48">
        <f>C74*1.43</f>
        <v>154.44</v>
      </c>
      <c r="C74" s="36">
        <v>108</v>
      </c>
      <c r="D74" s="50"/>
      <c r="E74" s="95"/>
      <c r="F74" s="95"/>
      <c r="G74" s="95"/>
      <c r="H74" s="95"/>
      <c r="I74" s="274"/>
      <c r="J74" s="15"/>
      <c r="K74" s="339"/>
      <c r="L74" s="15"/>
    </row>
    <row r="75" spans="1:12" s="9" customFormat="1" ht="30" customHeight="1">
      <c r="A75" s="115" t="s">
        <v>150</v>
      </c>
      <c r="B75" s="48">
        <f>C75*1.72</f>
        <v>185.76</v>
      </c>
      <c r="C75" s="36">
        <v>108</v>
      </c>
      <c r="D75" s="50"/>
      <c r="E75" s="95"/>
      <c r="F75" s="95"/>
      <c r="G75" s="95"/>
      <c r="H75" s="296"/>
      <c r="I75" s="274"/>
      <c r="J75" s="15"/>
      <c r="K75" s="339"/>
      <c r="L75" s="15"/>
    </row>
    <row r="76" spans="1:12" s="9" customFormat="1" ht="30" customHeight="1">
      <c r="A76" s="51" t="s">
        <v>61</v>
      </c>
      <c r="B76" s="35">
        <f>C76*1.25</f>
        <v>22.5</v>
      </c>
      <c r="C76" s="47">
        <v>18</v>
      </c>
      <c r="D76" s="50"/>
      <c r="E76" s="109"/>
      <c r="F76" s="109"/>
      <c r="G76" s="109"/>
      <c r="H76" s="88"/>
      <c r="I76" s="274"/>
      <c r="J76" s="15"/>
      <c r="K76" s="339"/>
      <c r="L76" s="15"/>
    </row>
    <row r="77" spans="1:12" s="9" customFormat="1" ht="30" customHeight="1">
      <c r="A77" s="76" t="s">
        <v>16</v>
      </c>
      <c r="B77" s="35">
        <f>C77*1.33</f>
        <v>23.94</v>
      </c>
      <c r="C77" s="47">
        <v>18</v>
      </c>
      <c r="D77" s="50"/>
      <c r="E77" s="109"/>
      <c r="F77" s="109"/>
      <c r="G77" s="109"/>
      <c r="H77" s="88"/>
      <c r="I77" s="274"/>
      <c r="J77" s="15"/>
      <c r="K77" s="339"/>
      <c r="L77" s="15"/>
    </row>
    <row r="78" spans="1:12" s="9" customFormat="1" ht="30" customHeight="1">
      <c r="A78" s="76" t="s">
        <v>18</v>
      </c>
      <c r="B78" s="41">
        <f>C78*1.19</f>
        <v>14.28</v>
      </c>
      <c r="C78" s="47">
        <v>12</v>
      </c>
      <c r="D78" s="50"/>
      <c r="E78" s="109"/>
      <c r="F78" s="109"/>
      <c r="G78" s="109"/>
      <c r="H78" s="88"/>
      <c r="I78" s="274"/>
      <c r="J78" s="15"/>
      <c r="K78" s="339"/>
      <c r="L78" s="15"/>
    </row>
    <row r="79" spans="1:12" s="9" customFormat="1" ht="30" customHeight="1">
      <c r="A79" s="57" t="s">
        <v>54</v>
      </c>
      <c r="B79" s="47">
        <v>7.875</v>
      </c>
      <c r="C79" s="47">
        <v>7.875</v>
      </c>
      <c r="D79" s="50"/>
      <c r="E79" s="109"/>
      <c r="F79" s="109"/>
      <c r="G79" s="109"/>
      <c r="H79" s="88"/>
      <c r="I79" s="274"/>
      <c r="J79" s="15"/>
      <c r="K79" s="339"/>
      <c r="L79" s="15"/>
    </row>
    <row r="80" spans="1:12" s="9" customFormat="1" ht="30" customHeight="1">
      <c r="A80" s="52" t="s">
        <v>63</v>
      </c>
      <c r="B80" s="47">
        <v>19</v>
      </c>
      <c r="C80" s="47">
        <v>19</v>
      </c>
      <c r="D80" s="50"/>
      <c r="E80" s="109"/>
      <c r="F80" s="109"/>
      <c r="G80" s="109"/>
      <c r="H80" s="88"/>
      <c r="I80" s="274"/>
      <c r="J80" s="15"/>
      <c r="K80" s="339"/>
      <c r="L80" s="15"/>
    </row>
    <row r="81" spans="1:12" s="9" customFormat="1" ht="30" customHeight="1">
      <c r="A81" s="76" t="s">
        <v>11</v>
      </c>
      <c r="B81" s="47">
        <v>5</v>
      </c>
      <c r="C81" s="47">
        <v>5</v>
      </c>
      <c r="D81" s="50"/>
      <c r="E81" s="109"/>
      <c r="F81" s="109"/>
      <c r="G81" s="109"/>
      <c r="H81" s="88"/>
      <c r="I81" s="274"/>
      <c r="J81" s="15"/>
      <c r="K81" s="339"/>
      <c r="L81" s="15"/>
    </row>
    <row r="82" spans="1:12" s="9" customFormat="1" ht="30" customHeight="1">
      <c r="A82" s="53" t="s">
        <v>4</v>
      </c>
      <c r="B82" s="47">
        <v>1</v>
      </c>
      <c r="C82" s="47">
        <v>1</v>
      </c>
      <c r="D82" s="50"/>
      <c r="E82" s="109"/>
      <c r="F82" s="109"/>
      <c r="G82" s="109"/>
      <c r="H82" s="88"/>
      <c r="I82" s="274"/>
      <c r="J82" s="15"/>
      <c r="K82" s="339"/>
      <c r="L82" s="15"/>
    </row>
    <row r="83" spans="1:12" ht="30" customHeight="1">
      <c r="A83" s="482" t="s">
        <v>319</v>
      </c>
      <c r="B83" s="495"/>
      <c r="C83" s="495"/>
      <c r="D83" s="23">
        <v>150</v>
      </c>
      <c r="E83" s="110">
        <v>1.2</v>
      </c>
      <c r="F83" s="110">
        <v>5.1</v>
      </c>
      <c r="G83" s="110">
        <v>21.6</v>
      </c>
      <c r="H83" s="378">
        <f>E83*4+F83*9+G83*4</f>
        <v>137.1</v>
      </c>
      <c r="I83" s="290" t="s">
        <v>318</v>
      </c>
      <c r="J83" s="70"/>
      <c r="K83" s="363"/>
      <c r="L83" s="70"/>
    </row>
    <row r="84" spans="1:12" ht="30" customHeight="1">
      <c r="A84" s="53" t="s">
        <v>12</v>
      </c>
      <c r="B84" s="37">
        <f>C84*1.33</f>
        <v>199.5</v>
      </c>
      <c r="C84" s="37">
        <v>150</v>
      </c>
      <c r="D84" s="36"/>
      <c r="E84" s="36"/>
      <c r="F84" s="36"/>
      <c r="G84" s="36"/>
      <c r="H84" s="36"/>
      <c r="J84" s="70"/>
      <c r="K84" s="363"/>
      <c r="L84" s="70"/>
    </row>
    <row r="85" spans="1:12" ht="30" customHeight="1">
      <c r="A85" s="53" t="s">
        <v>13</v>
      </c>
      <c r="B85" s="37">
        <f>C85*1.43</f>
        <v>214.5</v>
      </c>
      <c r="C85" s="37">
        <v>150</v>
      </c>
      <c r="D85" s="36"/>
      <c r="E85" s="36"/>
      <c r="F85" s="36"/>
      <c r="G85" s="36"/>
      <c r="H85" s="36"/>
      <c r="J85" s="70"/>
      <c r="K85" s="363"/>
      <c r="L85" s="70"/>
    </row>
    <row r="86" spans="1:12" ht="30" customHeight="1">
      <c r="A86" s="53" t="s">
        <v>14</v>
      </c>
      <c r="B86" s="37">
        <f>C86*1.54</f>
        <v>231</v>
      </c>
      <c r="C86" s="37">
        <v>150</v>
      </c>
      <c r="D86" s="36"/>
      <c r="E86" s="36"/>
      <c r="F86" s="36"/>
      <c r="G86" s="36"/>
      <c r="H86" s="36"/>
      <c r="J86" s="70"/>
      <c r="K86" s="363"/>
      <c r="L86" s="70"/>
    </row>
    <row r="87" spans="1:12" s="9" customFormat="1" ht="30" customHeight="1">
      <c r="A87" s="53" t="s">
        <v>15</v>
      </c>
      <c r="B87" s="87">
        <f>C87*1.67</f>
        <v>250.5</v>
      </c>
      <c r="C87" s="87">
        <v>150</v>
      </c>
      <c r="D87" s="296"/>
      <c r="E87" s="296"/>
      <c r="F87" s="296"/>
      <c r="G87" s="296"/>
      <c r="H87" s="296"/>
      <c r="I87" s="274"/>
      <c r="J87" s="15"/>
      <c r="K87" s="339"/>
      <c r="L87" s="15"/>
    </row>
    <row r="88" spans="1:12" ht="30" customHeight="1">
      <c r="A88" s="53" t="s">
        <v>152</v>
      </c>
      <c r="B88" s="37">
        <v>25</v>
      </c>
      <c r="C88" s="37">
        <v>25</v>
      </c>
      <c r="D88" s="36"/>
      <c r="E88" s="36"/>
      <c r="F88" s="36"/>
      <c r="G88" s="36"/>
      <c r="H88" s="36"/>
      <c r="J88" s="70"/>
      <c r="K88" s="363"/>
      <c r="L88" s="70"/>
    </row>
    <row r="89" spans="1:12" ht="30" customHeight="1">
      <c r="A89" s="53" t="s">
        <v>18</v>
      </c>
      <c r="B89" s="37">
        <f>C89*1.19</f>
        <v>19.04</v>
      </c>
      <c r="C89" s="36">
        <v>16</v>
      </c>
      <c r="D89" s="150"/>
      <c r="E89" s="150"/>
      <c r="F89" s="150"/>
      <c r="G89" s="150"/>
      <c r="H89" s="150"/>
      <c r="J89" s="70"/>
      <c r="K89" s="363"/>
      <c r="L89" s="70"/>
    </row>
    <row r="90" spans="1:12" ht="30" customHeight="1">
      <c r="A90" s="53" t="s">
        <v>19</v>
      </c>
      <c r="B90" s="36">
        <v>5</v>
      </c>
      <c r="C90" s="36">
        <v>5</v>
      </c>
      <c r="D90" s="150"/>
      <c r="E90" s="379"/>
      <c r="F90" s="379"/>
      <c r="G90" s="379"/>
      <c r="H90" s="150"/>
      <c r="I90" s="278"/>
      <c r="J90" s="70"/>
      <c r="K90" s="363"/>
      <c r="L90" s="70"/>
    </row>
    <row r="91" spans="1:12" ht="30" customHeight="1">
      <c r="A91" s="53" t="s">
        <v>153</v>
      </c>
      <c r="B91" s="36"/>
      <c r="C91" s="36">
        <v>8</v>
      </c>
      <c r="D91" s="150"/>
      <c r="E91" s="379"/>
      <c r="F91" s="379"/>
      <c r="G91" s="379"/>
      <c r="H91" s="150"/>
      <c r="I91" s="278"/>
      <c r="J91" s="70"/>
      <c r="K91" s="363"/>
      <c r="L91" s="70"/>
    </row>
    <row r="92" spans="1:12" ht="30" customHeight="1">
      <c r="A92" s="356" t="s">
        <v>229</v>
      </c>
      <c r="B92" s="23">
        <v>200</v>
      </c>
      <c r="C92" s="23">
        <v>200</v>
      </c>
      <c r="D92" s="23">
        <v>200</v>
      </c>
      <c r="E92" s="44">
        <v>0.5</v>
      </c>
      <c r="F92" s="44">
        <v>0.1</v>
      </c>
      <c r="G92" s="44">
        <v>28</v>
      </c>
      <c r="H92" s="43">
        <f>G92*4+F92*9+E92*4</f>
        <v>114.9</v>
      </c>
      <c r="I92" s="261" t="s">
        <v>230</v>
      </c>
      <c r="J92" s="70"/>
      <c r="K92" s="363"/>
      <c r="L92" s="70"/>
    </row>
    <row r="93" spans="1:12" ht="30" customHeight="1">
      <c r="A93" s="483" t="s">
        <v>70</v>
      </c>
      <c r="B93" s="483"/>
      <c r="C93" s="483"/>
      <c r="D93" s="483"/>
      <c r="E93" s="483"/>
      <c r="F93" s="483"/>
      <c r="G93" s="483"/>
      <c r="H93" s="483"/>
      <c r="J93" s="70"/>
      <c r="K93" s="363"/>
      <c r="L93" s="70"/>
    </row>
    <row r="94" spans="1:12" ht="30" customHeight="1">
      <c r="A94" s="491" t="s">
        <v>276</v>
      </c>
      <c r="B94" s="491"/>
      <c r="C94" s="491"/>
      <c r="D94" s="26">
        <v>200</v>
      </c>
      <c r="E94" s="45">
        <v>1</v>
      </c>
      <c r="F94" s="45">
        <v>0</v>
      </c>
      <c r="G94" s="45">
        <v>25.2</v>
      </c>
      <c r="H94" s="43">
        <f>G94*4+F94*9+E94*4</f>
        <v>104.8</v>
      </c>
      <c r="I94" s="276" t="s">
        <v>247</v>
      </c>
      <c r="J94" s="15"/>
      <c r="K94" s="339"/>
      <c r="L94" s="15"/>
    </row>
    <row r="95" spans="1:12" s="9" customFormat="1" ht="30" customHeight="1">
      <c r="A95" s="53" t="s">
        <v>74</v>
      </c>
      <c r="B95" s="36">
        <v>25</v>
      </c>
      <c r="C95" s="36">
        <v>25</v>
      </c>
      <c r="D95" s="36"/>
      <c r="E95" s="95"/>
      <c r="F95" s="95"/>
      <c r="G95" s="95"/>
      <c r="H95" s="296"/>
      <c r="I95" s="274"/>
      <c r="J95" s="15"/>
      <c r="K95" s="339"/>
      <c r="L95" s="15"/>
    </row>
    <row r="96" spans="1:32" s="9" customFormat="1" ht="30" customHeight="1">
      <c r="A96" s="53" t="s">
        <v>4</v>
      </c>
      <c r="B96" s="36">
        <v>10</v>
      </c>
      <c r="C96" s="36">
        <v>10</v>
      </c>
      <c r="D96" s="36"/>
      <c r="E96" s="95"/>
      <c r="F96" s="95"/>
      <c r="G96" s="95"/>
      <c r="H96" s="296"/>
      <c r="I96" s="274"/>
      <c r="J96" s="15"/>
      <c r="K96" s="339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</row>
    <row r="97" spans="1:32" ht="30" customHeight="1">
      <c r="A97" s="354" t="s">
        <v>20</v>
      </c>
      <c r="B97" s="25">
        <v>40</v>
      </c>
      <c r="C97" s="25">
        <v>40</v>
      </c>
      <c r="D97" s="39">
        <v>40</v>
      </c>
      <c r="E97" s="366">
        <v>1.8666666666666667</v>
      </c>
      <c r="F97" s="366">
        <v>0.4</v>
      </c>
      <c r="G97" s="366">
        <v>17.466666666666665</v>
      </c>
      <c r="H97" s="367">
        <v>81.06666666666666</v>
      </c>
      <c r="I97" s="368"/>
      <c r="J97" s="70"/>
      <c r="K97" s="363"/>
      <c r="L97" s="70"/>
      <c r="M97" s="293"/>
      <c r="N97" s="293"/>
      <c r="O97" s="293"/>
      <c r="P97" s="293"/>
      <c r="Q97" s="64"/>
      <c r="R97" s="12"/>
      <c r="S97" s="12"/>
      <c r="T97" s="12"/>
      <c r="U97" s="10"/>
      <c r="V97" s="65"/>
      <c r="W97" s="66"/>
      <c r="X97" s="67"/>
      <c r="Y97" s="67"/>
      <c r="Z97" s="67"/>
      <c r="AA97" s="67"/>
      <c r="AB97" s="67"/>
      <c r="AC97" s="67"/>
      <c r="AD97" s="68"/>
      <c r="AE97" s="68"/>
      <c r="AF97" s="70"/>
    </row>
    <row r="98" spans="1:32" ht="30" customHeight="1">
      <c r="A98" s="477" t="s">
        <v>75</v>
      </c>
      <c r="B98" s="478"/>
      <c r="C98" s="478"/>
      <c r="D98" s="77">
        <v>40</v>
      </c>
      <c r="E98" s="95"/>
      <c r="F98" s="95"/>
      <c r="G98" s="95"/>
      <c r="H98" s="95"/>
      <c r="I98" s="274"/>
      <c r="J98" s="15"/>
      <c r="K98" s="339"/>
      <c r="L98" s="15"/>
      <c r="M98" s="70"/>
      <c r="N98" s="70"/>
      <c r="O98" s="71"/>
      <c r="P98" s="67"/>
      <c r="Q98" s="67"/>
      <c r="R98" s="67"/>
      <c r="S98" s="67"/>
      <c r="T98" s="67"/>
      <c r="U98" s="67"/>
      <c r="V98" s="65"/>
      <c r="W98" s="162"/>
      <c r="X98" s="67"/>
      <c r="Y98" s="67"/>
      <c r="Z98" s="67"/>
      <c r="AA98" s="67"/>
      <c r="AB98" s="67"/>
      <c r="AC98" s="67"/>
      <c r="AD98" s="68"/>
      <c r="AE98" s="68"/>
      <c r="AF98" s="70"/>
    </row>
    <row r="99" spans="1:32" ht="30" customHeight="1">
      <c r="A99" s="212" t="s">
        <v>26</v>
      </c>
      <c r="B99" s="36">
        <v>40</v>
      </c>
      <c r="C99" s="36">
        <v>40</v>
      </c>
      <c r="D99" s="23">
        <v>40</v>
      </c>
      <c r="E99" s="110">
        <v>1.4</v>
      </c>
      <c r="F99" s="110">
        <v>0.4</v>
      </c>
      <c r="G99" s="110">
        <v>18.8</v>
      </c>
      <c r="H99" s="256">
        <v>82</v>
      </c>
      <c r="J99" s="70"/>
      <c r="K99" s="363"/>
      <c r="L99" s="70"/>
      <c r="M99" s="70"/>
      <c r="N99" s="70"/>
      <c r="O99" s="71"/>
      <c r="P99" s="67"/>
      <c r="Q99" s="67"/>
      <c r="R99" s="67"/>
      <c r="S99" s="65"/>
      <c r="T99" s="65"/>
      <c r="U99" s="65"/>
      <c r="V99" s="65"/>
      <c r="W99" s="162"/>
      <c r="X99" s="67"/>
      <c r="Y99" s="67"/>
      <c r="Z99" s="67"/>
      <c r="AA99" s="67"/>
      <c r="AB99" s="67"/>
      <c r="AC99" s="67"/>
      <c r="AD99" s="68"/>
      <c r="AE99" s="68"/>
      <c r="AF99" s="70"/>
    </row>
    <row r="100" spans="1:32" ht="30" customHeight="1">
      <c r="A100" s="482" t="s">
        <v>96</v>
      </c>
      <c r="B100" s="478"/>
      <c r="C100" s="478"/>
      <c r="D100" s="26">
        <v>160</v>
      </c>
      <c r="E100" s="45">
        <v>0.4</v>
      </c>
      <c r="F100" s="45">
        <v>0.1</v>
      </c>
      <c r="G100" s="45">
        <v>15</v>
      </c>
      <c r="H100" s="43">
        <f>E100*4+F100*9+G100*4</f>
        <v>62.5</v>
      </c>
      <c r="I100" s="276" t="s">
        <v>215</v>
      </c>
      <c r="J100" s="15"/>
      <c r="K100" s="339"/>
      <c r="L100" s="15"/>
      <c r="M100" s="70"/>
      <c r="N100" s="70"/>
      <c r="O100" s="71"/>
      <c r="P100" s="67"/>
      <c r="Q100" s="67"/>
      <c r="R100" s="67"/>
      <c r="S100" s="65"/>
      <c r="T100" s="65"/>
      <c r="U100" s="65"/>
      <c r="V100" s="65"/>
      <c r="W100" s="162"/>
      <c r="X100" s="67"/>
      <c r="Y100" s="67"/>
      <c r="Z100" s="67"/>
      <c r="AA100" s="67"/>
      <c r="AB100" s="67"/>
      <c r="AC100" s="67"/>
      <c r="AD100" s="68"/>
      <c r="AE100" s="68"/>
      <c r="AF100" s="70"/>
    </row>
    <row r="101" spans="1:32" s="9" customFormat="1" ht="30" customHeight="1">
      <c r="A101" s="475" t="s">
        <v>24</v>
      </c>
      <c r="B101" s="475"/>
      <c r="C101" s="475"/>
      <c r="D101" s="475"/>
      <c r="E101" s="99">
        <f>E40+E8</f>
        <v>47.96666666666666</v>
      </c>
      <c r="F101" s="99">
        <f>F40+F8</f>
        <v>45.599999999999994</v>
      </c>
      <c r="G101" s="99">
        <f>G40+G8</f>
        <v>188.86666666666667</v>
      </c>
      <c r="H101" s="96">
        <f>H40+H8</f>
        <v>1354.5666666666666</v>
      </c>
      <c r="I101" s="274"/>
      <c r="J101" s="15"/>
      <c r="K101" s="339"/>
      <c r="L101" s="15"/>
      <c r="M101" s="15"/>
      <c r="N101" s="15"/>
      <c r="O101" s="11"/>
      <c r="P101" s="14"/>
      <c r="Q101" s="14"/>
      <c r="R101" s="14"/>
      <c r="S101" s="13"/>
      <c r="T101" s="13"/>
      <c r="U101" s="13"/>
      <c r="V101" s="13"/>
      <c r="W101" s="163"/>
      <c r="X101" s="14"/>
      <c r="Y101" s="14"/>
      <c r="Z101" s="14"/>
      <c r="AA101" s="14"/>
      <c r="AB101" s="14"/>
      <c r="AC101" s="14"/>
      <c r="AD101" s="4"/>
      <c r="AE101" s="4"/>
      <c r="AF101" s="15"/>
    </row>
    <row r="102" spans="1:32" s="9" customFormat="1" ht="30" customHeight="1">
      <c r="A102" s="490" t="s">
        <v>41</v>
      </c>
      <c r="B102" s="490"/>
      <c r="C102" s="490"/>
      <c r="D102" s="490"/>
      <c r="E102" s="490"/>
      <c r="F102" s="490"/>
      <c r="G102" s="490"/>
      <c r="H102" s="490"/>
      <c r="I102" s="490"/>
      <c r="K102" s="335"/>
      <c r="M102" s="15"/>
      <c r="N102" s="15"/>
      <c r="O102" s="11"/>
      <c r="P102" s="14"/>
      <c r="Q102" s="14"/>
      <c r="R102" s="14"/>
      <c r="S102" s="13"/>
      <c r="T102" s="13"/>
      <c r="U102" s="13"/>
      <c r="V102" s="13"/>
      <c r="W102" s="163"/>
      <c r="X102" s="14"/>
      <c r="Y102" s="14"/>
      <c r="Z102" s="14"/>
      <c r="AA102" s="14"/>
      <c r="AB102" s="14"/>
      <c r="AC102" s="14"/>
      <c r="AD102" s="4"/>
      <c r="AE102" s="4"/>
      <c r="AF102" s="15"/>
    </row>
    <row r="103" spans="1:32" s="9" customFormat="1" ht="30" customHeight="1">
      <c r="A103" s="487" t="s">
        <v>0</v>
      </c>
      <c r="B103" s="476" t="s">
        <v>6</v>
      </c>
      <c r="C103" s="476" t="s">
        <v>7</v>
      </c>
      <c r="D103" s="487" t="s">
        <v>5</v>
      </c>
      <c r="E103" s="487"/>
      <c r="F103" s="487"/>
      <c r="G103" s="487"/>
      <c r="H103" s="487"/>
      <c r="I103" s="487"/>
      <c r="K103" s="335"/>
      <c r="M103" s="15"/>
      <c r="N103" s="15"/>
      <c r="O103" s="11"/>
      <c r="P103" s="14"/>
      <c r="Q103" s="14"/>
      <c r="R103" s="14"/>
      <c r="S103" s="13"/>
      <c r="T103" s="13"/>
      <c r="U103" s="13"/>
      <c r="V103" s="13"/>
      <c r="W103" s="163"/>
      <c r="X103" s="14"/>
      <c r="Y103" s="14"/>
      <c r="Z103" s="14"/>
      <c r="AA103" s="14"/>
      <c r="AB103" s="14"/>
      <c r="AC103" s="14"/>
      <c r="AD103" s="4"/>
      <c r="AE103" s="4"/>
      <c r="AF103" s="15"/>
    </row>
    <row r="104" spans="1:32" s="9" customFormat="1" ht="30" customHeight="1">
      <c r="A104" s="487"/>
      <c r="B104" s="476"/>
      <c r="C104" s="476"/>
      <c r="D104" s="138" t="s">
        <v>8</v>
      </c>
      <c r="E104" s="301" t="s">
        <v>1</v>
      </c>
      <c r="F104" s="301" t="s">
        <v>2</v>
      </c>
      <c r="G104" s="301" t="s">
        <v>9</v>
      </c>
      <c r="H104" s="300" t="s">
        <v>3</v>
      </c>
      <c r="I104" s="302" t="s">
        <v>199</v>
      </c>
      <c r="K104" s="335"/>
      <c r="L104" s="2"/>
      <c r="M104" s="15"/>
      <c r="N104" s="15"/>
      <c r="O104" s="11"/>
      <c r="P104" s="14"/>
      <c r="Q104" s="14"/>
      <c r="R104" s="14"/>
      <c r="S104" s="13"/>
      <c r="T104" s="13"/>
      <c r="U104" s="13"/>
      <c r="V104" s="13"/>
      <c r="W104" s="163"/>
      <c r="X104" s="14"/>
      <c r="Y104" s="14"/>
      <c r="Z104" s="14"/>
      <c r="AA104" s="14"/>
      <c r="AB104" s="14"/>
      <c r="AC104" s="14"/>
      <c r="AD104" s="4"/>
      <c r="AE104" s="4"/>
      <c r="AF104" s="15"/>
    </row>
    <row r="105" spans="1:32" s="9" customFormat="1" ht="30" customHeight="1">
      <c r="A105" s="479" t="s">
        <v>109</v>
      </c>
      <c r="B105" s="479"/>
      <c r="C105" s="479"/>
      <c r="D105" s="263">
        <f>D106+D116+D127+D131+D134</f>
        <v>630</v>
      </c>
      <c r="E105" s="99">
        <f>E106+E116+E127+E131+E134+E135+E137</f>
        <v>21.099999999999998</v>
      </c>
      <c r="F105" s="99">
        <f>F106+F116+F127+F131+F134+F135+F137</f>
        <v>18.4</v>
      </c>
      <c r="G105" s="99">
        <f>G106+G116+G127+G131+G134+G135+G137</f>
        <v>69.60000000000001</v>
      </c>
      <c r="H105" s="99">
        <f>H106+H116+H127+H131+H134+H135+H137</f>
        <v>532.9</v>
      </c>
      <c r="I105" s="274"/>
      <c r="K105" s="335"/>
      <c r="M105" s="15"/>
      <c r="N105" s="15"/>
      <c r="O105" s="11"/>
      <c r="P105" s="14"/>
      <c r="Q105" s="14"/>
      <c r="R105" s="14"/>
      <c r="S105" s="13"/>
      <c r="T105" s="13"/>
      <c r="U105" s="13"/>
      <c r="V105" s="13"/>
      <c r="W105" s="163"/>
      <c r="X105" s="14"/>
      <c r="Y105" s="14"/>
      <c r="Z105" s="14"/>
      <c r="AA105" s="14"/>
      <c r="AB105" s="14"/>
      <c r="AC105" s="14"/>
      <c r="AD105" s="4"/>
      <c r="AE105" s="4"/>
      <c r="AF105" s="15"/>
    </row>
    <row r="106" spans="1:32" s="9" customFormat="1" ht="30" customHeight="1">
      <c r="A106" s="482" t="s">
        <v>494</v>
      </c>
      <c r="B106" s="482"/>
      <c r="C106" s="482"/>
      <c r="D106" s="294">
        <v>100</v>
      </c>
      <c r="E106" s="44">
        <v>15.8</v>
      </c>
      <c r="F106" s="44">
        <v>14.1</v>
      </c>
      <c r="G106" s="44">
        <v>10.5</v>
      </c>
      <c r="H106" s="43">
        <f>G106*4+F106*9+E106*4</f>
        <v>232.09999999999997</v>
      </c>
      <c r="I106" s="230" t="s">
        <v>495</v>
      </c>
      <c r="K106" s="340" t="s">
        <v>41</v>
      </c>
      <c r="L106" s="1"/>
      <c r="M106" s="15"/>
      <c r="N106" s="15"/>
      <c r="O106" s="11"/>
      <c r="P106" s="14"/>
      <c r="Q106" s="14"/>
      <c r="R106" s="14"/>
      <c r="S106" s="13"/>
      <c r="T106" s="13"/>
      <c r="U106" s="13"/>
      <c r="V106" s="13"/>
      <c r="W106" s="163"/>
      <c r="X106" s="14"/>
      <c r="Y106" s="14"/>
      <c r="Z106" s="14"/>
      <c r="AA106" s="14"/>
      <c r="AB106" s="14"/>
      <c r="AC106" s="14"/>
      <c r="AD106" s="4"/>
      <c r="AE106" s="4"/>
      <c r="AF106" s="15"/>
    </row>
    <row r="107" spans="1:32" s="9" customFormat="1" ht="30" customHeight="1">
      <c r="A107" s="115" t="s">
        <v>398</v>
      </c>
      <c r="B107" s="48">
        <f>C107*1.43</f>
        <v>161.59</v>
      </c>
      <c r="C107" s="37">
        <v>113</v>
      </c>
      <c r="D107" s="36"/>
      <c r="E107" s="41"/>
      <c r="F107" s="41"/>
      <c r="G107" s="41"/>
      <c r="H107" s="41"/>
      <c r="I107" s="407"/>
      <c r="K107" s="322" t="s">
        <v>26</v>
      </c>
      <c r="L107" s="9">
        <f>D200+C137</f>
        <v>50</v>
      </c>
      <c r="M107" s="15"/>
      <c r="N107" s="15"/>
      <c r="O107" s="11"/>
      <c r="P107" s="14"/>
      <c r="Q107" s="14"/>
      <c r="R107" s="14"/>
      <c r="S107" s="13"/>
      <c r="T107" s="13"/>
      <c r="U107" s="13"/>
      <c r="V107" s="13"/>
      <c r="W107" s="163"/>
      <c r="X107" s="14"/>
      <c r="Y107" s="14"/>
      <c r="Z107" s="14"/>
      <c r="AA107" s="14"/>
      <c r="AB107" s="14"/>
      <c r="AC107" s="14"/>
      <c r="AD107" s="4"/>
      <c r="AE107" s="4"/>
      <c r="AF107" s="15"/>
    </row>
    <row r="108" spans="1:32" s="9" customFormat="1" ht="30" customHeight="1">
      <c r="A108" s="115" t="s">
        <v>150</v>
      </c>
      <c r="B108" s="48">
        <f>C108*1.72</f>
        <v>194.35999999999999</v>
      </c>
      <c r="C108" s="37">
        <v>113</v>
      </c>
      <c r="D108" s="36"/>
      <c r="E108" s="41"/>
      <c r="F108" s="41"/>
      <c r="G108" s="41"/>
      <c r="H108" s="37"/>
      <c r="I108" s="407"/>
      <c r="K108" s="322" t="s">
        <v>131</v>
      </c>
      <c r="L108" s="6">
        <f>D198+C135</f>
        <v>50</v>
      </c>
      <c r="M108" s="15"/>
      <c r="N108" s="15"/>
      <c r="O108" s="11"/>
      <c r="P108" s="14"/>
      <c r="Q108" s="14"/>
      <c r="R108" s="14"/>
      <c r="S108" s="13"/>
      <c r="T108" s="13"/>
      <c r="U108" s="13"/>
      <c r="V108" s="13"/>
      <c r="W108" s="163"/>
      <c r="X108" s="14"/>
      <c r="Y108" s="14"/>
      <c r="Z108" s="14"/>
      <c r="AA108" s="14"/>
      <c r="AB108" s="14"/>
      <c r="AC108" s="14"/>
      <c r="AD108" s="4"/>
      <c r="AE108" s="4"/>
      <c r="AF108" s="15"/>
    </row>
    <row r="109" spans="1:32" ht="30" customHeight="1">
      <c r="A109" s="115" t="s">
        <v>399</v>
      </c>
      <c r="B109" s="48">
        <f>C109*1.35</f>
        <v>145.8</v>
      </c>
      <c r="C109" s="87">
        <v>108</v>
      </c>
      <c r="D109" s="36"/>
      <c r="E109" s="95"/>
      <c r="F109" s="95"/>
      <c r="G109" s="95"/>
      <c r="H109" s="87"/>
      <c r="I109" s="95"/>
      <c r="K109" s="322" t="s">
        <v>161</v>
      </c>
      <c r="L109" s="17">
        <f>C185+C110+B181</f>
        <v>19.5</v>
      </c>
      <c r="M109" s="70"/>
      <c r="N109" s="70"/>
      <c r="O109" s="71"/>
      <c r="P109" s="67"/>
      <c r="Q109" s="67"/>
      <c r="R109" s="67"/>
      <c r="S109" s="65"/>
      <c r="T109" s="65"/>
      <c r="U109" s="65"/>
      <c r="V109" s="65"/>
      <c r="W109" s="164"/>
      <c r="X109" s="67"/>
      <c r="Y109" s="67"/>
      <c r="Z109" s="67"/>
      <c r="AA109" s="67"/>
      <c r="AB109" s="67"/>
      <c r="AC109" s="67"/>
      <c r="AD109" s="68"/>
      <c r="AE109" s="68"/>
      <c r="AF109" s="70"/>
    </row>
    <row r="110" spans="1:32" ht="30" customHeight="1">
      <c r="A110" s="53" t="s">
        <v>21</v>
      </c>
      <c r="B110" s="37">
        <v>10</v>
      </c>
      <c r="C110" s="37">
        <v>10</v>
      </c>
      <c r="D110" s="36"/>
      <c r="E110" s="41"/>
      <c r="F110" s="41"/>
      <c r="G110" s="41"/>
      <c r="H110" s="37"/>
      <c r="I110" s="41"/>
      <c r="K110" s="322" t="s">
        <v>67</v>
      </c>
      <c r="L110" s="61">
        <f>C189+C175</f>
        <v>68</v>
      </c>
      <c r="M110" s="70"/>
      <c r="N110" s="70"/>
      <c r="O110" s="71"/>
      <c r="P110" s="67"/>
      <c r="Q110" s="67"/>
      <c r="R110" s="67"/>
      <c r="S110" s="65"/>
      <c r="T110" s="65"/>
      <c r="U110" s="65"/>
      <c r="V110" s="65"/>
      <c r="W110" s="164"/>
      <c r="X110" s="67"/>
      <c r="Y110" s="67"/>
      <c r="Z110" s="67"/>
      <c r="AA110" s="67"/>
      <c r="AB110" s="67"/>
      <c r="AC110" s="67"/>
      <c r="AD110" s="68"/>
      <c r="AE110" s="68"/>
      <c r="AF110" s="70"/>
    </row>
    <row r="111" spans="1:32" ht="30" customHeight="1">
      <c r="A111" s="53" t="s">
        <v>400</v>
      </c>
      <c r="B111" s="37"/>
      <c r="C111" s="37">
        <v>95</v>
      </c>
      <c r="D111" s="36"/>
      <c r="E111" s="41"/>
      <c r="F111" s="41"/>
      <c r="G111" s="41"/>
      <c r="H111" s="37"/>
      <c r="I111" s="41"/>
      <c r="K111" s="322" t="s">
        <v>66</v>
      </c>
      <c r="L111" s="62"/>
      <c r="M111" s="70"/>
      <c r="N111" s="70"/>
      <c r="O111" s="71"/>
      <c r="P111" s="67"/>
      <c r="Q111" s="67"/>
      <c r="R111" s="67"/>
      <c r="S111" s="65"/>
      <c r="T111" s="65"/>
      <c r="U111" s="65"/>
      <c r="V111" s="65"/>
      <c r="W111" s="164"/>
      <c r="X111" s="67"/>
      <c r="Y111" s="67"/>
      <c r="Z111" s="67"/>
      <c r="AA111" s="67"/>
      <c r="AB111" s="67"/>
      <c r="AC111" s="67"/>
      <c r="AD111" s="68"/>
      <c r="AE111" s="68"/>
      <c r="AF111" s="70"/>
    </row>
    <row r="112" spans="1:32" ht="30" customHeight="1">
      <c r="A112" s="53" t="s">
        <v>401</v>
      </c>
      <c r="B112" s="37"/>
      <c r="C112" s="37"/>
      <c r="D112" s="36"/>
      <c r="E112" s="95"/>
      <c r="F112" s="95"/>
      <c r="G112" s="95"/>
      <c r="H112" s="87"/>
      <c r="I112" s="95"/>
      <c r="K112" s="322" t="s">
        <v>27</v>
      </c>
      <c r="L112" s="17">
        <f>C161+C140+C117</f>
        <v>181</v>
      </c>
      <c r="M112" s="70"/>
      <c r="N112" s="70"/>
      <c r="O112" s="71"/>
      <c r="P112" s="67"/>
      <c r="Q112" s="67"/>
      <c r="R112" s="67"/>
      <c r="S112" s="65"/>
      <c r="T112" s="65"/>
      <c r="U112" s="65"/>
      <c r="V112" s="65"/>
      <c r="W112" s="164"/>
      <c r="X112" s="67"/>
      <c r="Y112" s="67"/>
      <c r="Z112" s="67"/>
      <c r="AA112" s="67"/>
      <c r="AB112" s="67"/>
      <c r="AC112" s="67"/>
      <c r="AD112" s="68"/>
      <c r="AE112" s="68"/>
      <c r="AF112" s="70"/>
    </row>
    <row r="113" spans="1:32" ht="30" customHeight="1">
      <c r="A113" s="53" t="s">
        <v>19</v>
      </c>
      <c r="B113" s="37">
        <v>5</v>
      </c>
      <c r="C113" s="37">
        <v>5</v>
      </c>
      <c r="D113" s="36"/>
      <c r="E113" s="95"/>
      <c r="F113" s="95"/>
      <c r="G113" s="95"/>
      <c r="H113" s="87"/>
      <c r="I113" s="95"/>
      <c r="K113" s="322" t="s">
        <v>210</v>
      </c>
      <c r="L113" s="17">
        <f>C128+C145+C148+C146+C155+C187+C177</f>
        <v>79.5</v>
      </c>
      <c r="M113" s="70"/>
      <c r="N113" s="70"/>
      <c r="O113" s="71"/>
      <c r="P113" s="67"/>
      <c r="Q113" s="67"/>
      <c r="R113" s="67"/>
      <c r="S113" s="65"/>
      <c r="T113" s="65"/>
      <c r="U113" s="65"/>
      <c r="V113" s="65"/>
      <c r="W113" s="164"/>
      <c r="X113" s="67"/>
      <c r="Y113" s="67"/>
      <c r="Z113" s="67"/>
      <c r="AA113" s="67"/>
      <c r="AB113" s="67"/>
      <c r="AC113" s="67"/>
      <c r="AD113" s="68"/>
      <c r="AE113" s="68"/>
      <c r="AF113" s="70"/>
    </row>
    <row r="114" spans="1:32" ht="30" customHeight="1">
      <c r="A114" s="53" t="s">
        <v>98</v>
      </c>
      <c r="B114" s="37">
        <v>6</v>
      </c>
      <c r="C114" s="37">
        <v>5</v>
      </c>
      <c r="D114" s="36"/>
      <c r="E114" s="41"/>
      <c r="F114" s="41"/>
      <c r="G114" s="41"/>
      <c r="H114" s="37"/>
      <c r="I114" s="41"/>
      <c r="K114" s="322" t="s">
        <v>28</v>
      </c>
      <c r="L114" s="62">
        <f>D134</f>
        <v>150</v>
      </c>
      <c r="M114" s="70"/>
      <c r="N114" s="70"/>
      <c r="O114" s="71"/>
      <c r="P114" s="67"/>
      <c r="Q114" s="67"/>
      <c r="R114" s="67"/>
      <c r="S114" s="65"/>
      <c r="T114" s="65"/>
      <c r="U114" s="65"/>
      <c r="V114" s="65"/>
      <c r="W114" s="164"/>
      <c r="X114" s="67"/>
      <c r="Y114" s="67"/>
      <c r="Z114" s="67"/>
      <c r="AA114" s="67"/>
      <c r="AB114" s="67"/>
      <c r="AC114" s="67"/>
      <c r="AD114" s="68"/>
      <c r="AE114" s="68"/>
      <c r="AF114" s="70"/>
    </row>
    <row r="115" spans="1:32" ht="30" customHeight="1">
      <c r="A115" s="53" t="s">
        <v>11</v>
      </c>
      <c r="B115" s="37">
        <v>3</v>
      </c>
      <c r="C115" s="37">
        <v>3</v>
      </c>
      <c r="D115" s="36"/>
      <c r="E115" s="95"/>
      <c r="F115" s="95"/>
      <c r="G115" s="44"/>
      <c r="H115" s="43"/>
      <c r="I115" s="95"/>
      <c r="K115" s="322" t="s">
        <v>177</v>
      </c>
      <c r="L115" s="9"/>
      <c r="M115" s="70"/>
      <c r="N115" s="70"/>
      <c r="O115" s="71"/>
      <c r="P115" s="67"/>
      <c r="Q115" s="67"/>
      <c r="R115" s="67"/>
      <c r="S115" s="65"/>
      <c r="T115" s="65"/>
      <c r="U115" s="65"/>
      <c r="V115" s="65"/>
      <c r="W115" s="164"/>
      <c r="X115" s="67"/>
      <c r="Y115" s="67"/>
      <c r="Z115" s="67"/>
      <c r="AA115" s="67"/>
      <c r="AB115" s="67"/>
      <c r="AC115" s="67"/>
      <c r="AD115" s="68"/>
      <c r="AE115" s="68"/>
      <c r="AF115" s="70"/>
    </row>
    <row r="116" spans="1:12" s="9" customFormat="1" ht="30" customHeight="1">
      <c r="A116" s="494" t="s">
        <v>244</v>
      </c>
      <c r="B116" s="478"/>
      <c r="C116" s="478"/>
      <c r="D116" s="39">
        <v>150</v>
      </c>
      <c r="E116" s="83">
        <v>3</v>
      </c>
      <c r="F116" s="83">
        <v>3.8</v>
      </c>
      <c r="G116" s="83">
        <v>19.3</v>
      </c>
      <c r="H116" s="43">
        <f>G116*4+F116*9+E116*4</f>
        <v>123.4</v>
      </c>
      <c r="I116" s="276" t="s">
        <v>245</v>
      </c>
      <c r="K116" s="322" t="s">
        <v>211</v>
      </c>
      <c r="L116" s="6">
        <f>C133</f>
        <v>12</v>
      </c>
    </row>
    <row r="117" spans="1:12" s="9" customFormat="1" ht="30" customHeight="1">
      <c r="A117" s="53" t="s">
        <v>12</v>
      </c>
      <c r="B117" s="37">
        <f>C117*1.33</f>
        <v>170.24</v>
      </c>
      <c r="C117" s="37">
        <v>128</v>
      </c>
      <c r="D117" s="36"/>
      <c r="E117" s="95"/>
      <c r="F117" s="95"/>
      <c r="G117" s="95"/>
      <c r="H117" s="236"/>
      <c r="I117" s="275"/>
      <c r="K117" s="322" t="s">
        <v>375</v>
      </c>
      <c r="L117" s="9">
        <f>C192</f>
        <v>200</v>
      </c>
    </row>
    <row r="118" spans="1:11" s="9" customFormat="1" ht="30" customHeight="1">
      <c r="A118" s="53" t="s">
        <v>13</v>
      </c>
      <c r="B118" s="37">
        <f>C118*1.43</f>
        <v>183.04</v>
      </c>
      <c r="C118" s="37">
        <v>128</v>
      </c>
      <c r="D118" s="36"/>
      <c r="E118" s="95"/>
      <c r="F118" s="95"/>
      <c r="G118" s="95"/>
      <c r="H118" s="296"/>
      <c r="I118" s="274"/>
      <c r="K118" s="337" t="s">
        <v>29</v>
      </c>
    </row>
    <row r="119" spans="1:12" s="9" customFormat="1" ht="30" customHeight="1">
      <c r="A119" s="53" t="s">
        <v>14</v>
      </c>
      <c r="B119" s="37">
        <f>C119*1.54</f>
        <v>197.12</v>
      </c>
      <c r="C119" s="37">
        <v>128</v>
      </c>
      <c r="D119" s="36"/>
      <c r="E119" s="95"/>
      <c r="F119" s="44"/>
      <c r="G119" s="44"/>
      <c r="H119" s="294"/>
      <c r="I119" s="274"/>
      <c r="K119" s="322" t="s">
        <v>71</v>
      </c>
      <c r="L119" s="17"/>
    </row>
    <row r="120" spans="1:11" s="9" customFormat="1" ht="30" customHeight="1">
      <c r="A120" s="53" t="s">
        <v>15</v>
      </c>
      <c r="B120" s="37">
        <f>C120*1.67</f>
        <v>213.76</v>
      </c>
      <c r="C120" s="37">
        <v>128</v>
      </c>
      <c r="D120" s="36"/>
      <c r="E120" s="95"/>
      <c r="F120" s="44"/>
      <c r="G120" s="44"/>
      <c r="H120" s="294"/>
      <c r="I120" s="274"/>
      <c r="K120" s="322" t="s">
        <v>189</v>
      </c>
    </row>
    <row r="121" spans="1:13" s="9" customFormat="1" ht="30" customHeight="1">
      <c r="A121" s="53" t="s">
        <v>52</v>
      </c>
      <c r="B121" s="36">
        <v>23</v>
      </c>
      <c r="C121" s="36">
        <v>23</v>
      </c>
      <c r="D121" s="36"/>
      <c r="E121" s="41"/>
      <c r="F121" s="41"/>
      <c r="G121" s="41"/>
      <c r="H121" s="36"/>
      <c r="I121" s="360"/>
      <c r="J121" s="61"/>
      <c r="K121" s="322" t="s">
        <v>190</v>
      </c>
      <c r="L121" s="61"/>
      <c r="M121" s="61"/>
    </row>
    <row r="122" spans="1:12" s="9" customFormat="1" ht="30" customHeight="1">
      <c r="A122" s="58" t="s">
        <v>38</v>
      </c>
      <c r="B122" s="89">
        <f>B121*460/1000</f>
        <v>10.58</v>
      </c>
      <c r="C122" s="89">
        <f>C121*460/1000</f>
        <v>10.58</v>
      </c>
      <c r="D122" s="36"/>
      <c r="E122" s="95"/>
      <c r="F122" s="95"/>
      <c r="G122" s="95"/>
      <c r="H122" s="296"/>
      <c r="I122" s="274"/>
      <c r="K122" s="338" t="s">
        <v>30</v>
      </c>
      <c r="L122" s="9">
        <f>+C132</f>
        <v>1</v>
      </c>
    </row>
    <row r="123" spans="1:12" s="9" customFormat="1" ht="30" customHeight="1">
      <c r="A123" s="58" t="s">
        <v>39</v>
      </c>
      <c r="B123" s="89">
        <f>B121*120/1000</f>
        <v>2.76</v>
      </c>
      <c r="C123" s="89">
        <f>C121*120/1000</f>
        <v>2.76</v>
      </c>
      <c r="D123" s="36"/>
      <c r="E123" s="95"/>
      <c r="F123" s="95"/>
      <c r="G123" s="95"/>
      <c r="H123" s="296"/>
      <c r="I123" s="274"/>
      <c r="K123" s="322" t="s">
        <v>179</v>
      </c>
      <c r="L123" s="62">
        <f>C153</f>
        <v>17</v>
      </c>
    </row>
    <row r="124" spans="1:12" s="9" customFormat="1" ht="30" customHeight="1">
      <c r="A124" s="355" t="s">
        <v>402</v>
      </c>
      <c r="B124" s="408">
        <f>B121-B122</f>
        <v>12.42</v>
      </c>
      <c r="C124" s="408">
        <f>C121-C122</f>
        <v>12.42</v>
      </c>
      <c r="D124" s="36"/>
      <c r="E124" s="95"/>
      <c r="F124" s="95"/>
      <c r="G124" s="95"/>
      <c r="H124" s="296"/>
      <c r="I124" s="274"/>
      <c r="K124" s="322" t="s">
        <v>181</v>
      </c>
      <c r="L124" s="62"/>
    </row>
    <row r="125" spans="1:12" s="9" customFormat="1" ht="30" customHeight="1">
      <c r="A125" s="355" t="s">
        <v>403</v>
      </c>
      <c r="B125" s="408">
        <f>B121-B123</f>
        <v>20.240000000000002</v>
      </c>
      <c r="C125" s="408">
        <f>C121-C123</f>
        <v>20.240000000000002</v>
      </c>
      <c r="D125" s="36"/>
      <c r="E125" s="95"/>
      <c r="F125" s="95"/>
      <c r="G125" s="95"/>
      <c r="H125" s="296"/>
      <c r="I125" s="275"/>
      <c r="K125" s="322" t="s">
        <v>180</v>
      </c>
      <c r="L125" s="61">
        <f>C173</f>
        <v>75</v>
      </c>
    </row>
    <row r="126" spans="1:12" ht="30" customHeight="1">
      <c r="A126" s="51" t="s">
        <v>19</v>
      </c>
      <c r="B126" s="35">
        <v>5</v>
      </c>
      <c r="C126" s="35">
        <v>5</v>
      </c>
      <c r="D126" s="36"/>
      <c r="E126" s="95"/>
      <c r="F126" s="95"/>
      <c r="G126" s="95"/>
      <c r="H126" s="296"/>
      <c r="J126" s="9"/>
      <c r="K126" s="322" t="s">
        <v>182</v>
      </c>
      <c r="L126" s="17">
        <f>C107</f>
        <v>113</v>
      </c>
    </row>
    <row r="127" spans="1:12" ht="30" customHeight="1">
      <c r="A127" s="482" t="s">
        <v>384</v>
      </c>
      <c r="B127" s="482"/>
      <c r="C127" s="482"/>
      <c r="D127" s="23">
        <v>30</v>
      </c>
      <c r="E127" s="110">
        <v>0.3</v>
      </c>
      <c r="F127" s="110">
        <v>0.1</v>
      </c>
      <c r="G127" s="110">
        <v>1.2</v>
      </c>
      <c r="H127" s="256">
        <f>E127*4+F127*9+G127*4</f>
        <v>6.9</v>
      </c>
      <c r="I127" s="290" t="s">
        <v>234</v>
      </c>
      <c r="K127" s="327" t="s">
        <v>82</v>
      </c>
      <c r="L127" s="62">
        <f>C121</f>
        <v>23</v>
      </c>
    </row>
    <row r="128" spans="1:11" ht="30" customHeight="1">
      <c r="A128" s="56" t="s">
        <v>100</v>
      </c>
      <c r="B128" s="37">
        <f>C128*1.02</f>
        <v>30.6</v>
      </c>
      <c r="C128" s="60">
        <v>30</v>
      </c>
      <c r="D128" s="233"/>
      <c r="E128" s="110"/>
      <c r="F128" s="110"/>
      <c r="G128" s="110"/>
      <c r="H128" s="23"/>
      <c r="I128" s="278"/>
      <c r="K128" s="329" t="s">
        <v>183</v>
      </c>
    </row>
    <row r="129" spans="1:28" ht="30" customHeight="1">
      <c r="A129" s="53" t="s">
        <v>101</v>
      </c>
      <c r="B129" s="37">
        <f>C129*1.18</f>
        <v>35.4</v>
      </c>
      <c r="C129" s="60">
        <v>30</v>
      </c>
      <c r="D129" s="233"/>
      <c r="E129" s="44"/>
      <c r="F129" s="44"/>
      <c r="G129" s="44"/>
      <c r="H129" s="44"/>
      <c r="I129" s="278"/>
      <c r="J129" s="9"/>
      <c r="K129" s="322" t="s">
        <v>184</v>
      </c>
      <c r="L129" s="9"/>
      <c r="M129" s="503"/>
      <c r="N129" s="503"/>
      <c r="O129" s="503"/>
      <c r="P129" s="194"/>
      <c r="Q129" s="195"/>
      <c r="R129" s="195"/>
      <c r="S129" s="195"/>
      <c r="T129" s="196"/>
      <c r="U129" s="197"/>
      <c r="V129" s="195"/>
      <c r="W129" s="195"/>
      <c r="X129" s="195"/>
      <c r="Y129" s="195"/>
      <c r="Z129" s="195"/>
      <c r="AA129" s="195"/>
      <c r="AB129" s="195"/>
    </row>
    <row r="130" spans="1:28" ht="30" customHeight="1">
      <c r="A130" s="56" t="s">
        <v>115</v>
      </c>
      <c r="B130" s="90">
        <f>C130*1.82</f>
        <v>54.6</v>
      </c>
      <c r="C130" s="60">
        <v>30</v>
      </c>
      <c r="D130" s="233"/>
      <c r="E130" s="44"/>
      <c r="F130" s="44"/>
      <c r="G130" s="44"/>
      <c r="H130" s="44"/>
      <c r="I130" s="278"/>
      <c r="J130" s="9"/>
      <c r="K130" s="322" t="s">
        <v>31</v>
      </c>
      <c r="L130" s="17">
        <f>C170+C184</f>
        <v>17.5</v>
      </c>
      <c r="M130" s="198"/>
      <c r="N130" s="199"/>
      <c r="O130" s="199"/>
      <c r="P130" s="200"/>
      <c r="Q130" s="201"/>
      <c r="R130" s="201"/>
      <c r="S130" s="201"/>
      <c r="T130" s="200"/>
      <c r="U130" s="202"/>
      <c r="V130" s="202"/>
      <c r="W130" s="202"/>
      <c r="X130" s="202"/>
      <c r="Y130" s="202"/>
      <c r="Z130" s="202"/>
      <c r="AA130" s="202"/>
      <c r="AB130" s="202"/>
    </row>
    <row r="131" spans="1:28" ht="30" customHeight="1">
      <c r="A131" s="484" t="s">
        <v>236</v>
      </c>
      <c r="B131" s="484"/>
      <c r="C131" s="484"/>
      <c r="D131" s="21">
        <v>200</v>
      </c>
      <c r="E131" s="21">
        <v>0.2</v>
      </c>
      <c r="F131" s="111">
        <v>0</v>
      </c>
      <c r="G131" s="21">
        <v>11.9</v>
      </c>
      <c r="H131" s="21">
        <v>53</v>
      </c>
      <c r="I131" s="276" t="s">
        <v>237</v>
      </c>
      <c r="J131" s="9"/>
      <c r="K131" s="322" t="s">
        <v>185</v>
      </c>
      <c r="L131" s="17">
        <f>C114</f>
        <v>5</v>
      </c>
      <c r="M131" s="198"/>
      <c r="N131" s="199"/>
      <c r="O131" s="199"/>
      <c r="P131" s="200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</row>
    <row r="132" spans="1:28" ht="30" customHeight="1">
      <c r="A132" s="51" t="s">
        <v>114</v>
      </c>
      <c r="B132" s="5">
        <v>1</v>
      </c>
      <c r="C132" s="5">
        <v>1</v>
      </c>
      <c r="D132" s="5"/>
      <c r="E132" s="5"/>
      <c r="F132" s="5"/>
      <c r="G132" s="5"/>
      <c r="H132" s="5"/>
      <c r="J132" s="9"/>
      <c r="K132" s="322" t="s">
        <v>32</v>
      </c>
      <c r="L132" s="62">
        <f>C169+C113+C126+C191</f>
        <v>19</v>
      </c>
      <c r="M132" s="16"/>
      <c r="N132" s="203"/>
      <c r="O132" s="65"/>
      <c r="P132" s="200"/>
      <c r="Q132" s="201"/>
      <c r="R132" s="201"/>
      <c r="S132" s="201"/>
      <c r="T132" s="200"/>
      <c r="U132" s="202"/>
      <c r="V132" s="202"/>
      <c r="W132" s="202"/>
      <c r="X132" s="202"/>
      <c r="Y132" s="202"/>
      <c r="Z132" s="202"/>
      <c r="AA132" s="202"/>
      <c r="AB132" s="202"/>
    </row>
    <row r="133" spans="1:28" s="9" customFormat="1" ht="30" customHeight="1">
      <c r="A133" s="51" t="s">
        <v>4</v>
      </c>
      <c r="B133" s="5">
        <v>12</v>
      </c>
      <c r="C133" s="5">
        <v>12</v>
      </c>
      <c r="D133" s="5"/>
      <c r="E133" s="5"/>
      <c r="F133" s="5"/>
      <c r="G133" s="43"/>
      <c r="H133" s="294"/>
      <c r="I133" s="275"/>
      <c r="K133" s="322" t="s">
        <v>33</v>
      </c>
      <c r="L133" s="62">
        <f>C150+C115+C178+C182</f>
        <v>13</v>
      </c>
      <c r="M133" s="16"/>
      <c r="N133" s="201"/>
      <c r="O133" s="200"/>
      <c r="P133" s="200"/>
      <c r="Q133" s="201"/>
      <c r="R133" s="195"/>
      <c r="S133" s="195"/>
      <c r="T133" s="194"/>
      <c r="U133" s="204"/>
      <c r="V133" s="204"/>
      <c r="W133" s="204"/>
      <c r="X133" s="204"/>
      <c r="Y133" s="204"/>
      <c r="Z133" s="204"/>
      <c r="AA133" s="204"/>
      <c r="AB133" s="204"/>
    </row>
    <row r="134" spans="1:28" s="9" customFormat="1" ht="30" customHeight="1">
      <c r="A134" s="482" t="s">
        <v>96</v>
      </c>
      <c r="B134" s="478"/>
      <c r="C134" s="478"/>
      <c r="D134" s="26">
        <v>150</v>
      </c>
      <c r="E134" s="45">
        <v>0.2</v>
      </c>
      <c r="F134" s="45">
        <v>0</v>
      </c>
      <c r="G134" s="45">
        <v>8.6</v>
      </c>
      <c r="H134" s="43">
        <f>E134*4+F134*9+G134*4</f>
        <v>35.199999999999996</v>
      </c>
      <c r="I134" s="276" t="s">
        <v>215</v>
      </c>
      <c r="K134" s="322" t="s">
        <v>186</v>
      </c>
      <c r="L134" s="62">
        <f>C157+C147+C180</f>
        <v>30.2</v>
      </c>
      <c r="M134" s="198"/>
      <c r="N134" s="199"/>
      <c r="O134" s="205"/>
      <c r="P134" s="200"/>
      <c r="Q134" s="201"/>
      <c r="R134" s="195"/>
      <c r="S134" s="195"/>
      <c r="T134" s="194"/>
      <c r="U134" s="204"/>
      <c r="V134" s="204"/>
      <c r="W134" s="204"/>
      <c r="X134" s="204"/>
      <c r="Y134" s="204"/>
      <c r="Z134" s="204"/>
      <c r="AA134" s="204"/>
      <c r="AB134" s="204"/>
    </row>
    <row r="135" spans="1:28" ht="30" customHeight="1">
      <c r="A135" s="354" t="s">
        <v>20</v>
      </c>
      <c r="B135" s="25">
        <v>20</v>
      </c>
      <c r="C135" s="25">
        <v>20</v>
      </c>
      <c r="D135" s="39">
        <v>20</v>
      </c>
      <c r="E135" s="366">
        <v>0.9</v>
      </c>
      <c r="F135" s="366">
        <v>0.2</v>
      </c>
      <c r="G135" s="366">
        <v>8.7</v>
      </c>
      <c r="H135" s="367">
        <v>41</v>
      </c>
      <c r="I135" s="368"/>
      <c r="K135" s="322" t="s">
        <v>352</v>
      </c>
      <c r="M135" s="369"/>
      <c r="N135" s="370"/>
      <c r="O135" s="370"/>
      <c r="P135" s="65"/>
      <c r="Q135" s="203"/>
      <c r="R135" s="12"/>
      <c r="S135" s="12"/>
      <c r="T135" s="371"/>
      <c r="U135" s="372"/>
      <c r="V135" s="372"/>
      <c r="W135" s="372"/>
      <c r="X135" s="372"/>
      <c r="Y135" s="372"/>
      <c r="Z135" s="372"/>
      <c r="AA135" s="372"/>
      <c r="AB135" s="372"/>
    </row>
    <row r="136" spans="1:28" s="9" customFormat="1" ht="30" customHeight="1">
      <c r="A136" s="477" t="s">
        <v>75</v>
      </c>
      <c r="B136" s="477"/>
      <c r="C136" s="477"/>
      <c r="D136" s="294">
        <v>20</v>
      </c>
      <c r="E136" s="44"/>
      <c r="F136" s="44"/>
      <c r="G136" s="44"/>
      <c r="H136" s="44"/>
      <c r="I136" s="274"/>
      <c r="K136" s="322" t="s">
        <v>188</v>
      </c>
      <c r="L136" s="15">
        <v>1.5</v>
      </c>
      <c r="M136" s="198"/>
      <c r="N136" s="206"/>
      <c r="O136" s="206"/>
      <c r="P136" s="200"/>
      <c r="Q136" s="207"/>
      <c r="R136" s="207"/>
      <c r="S136" s="207"/>
      <c r="T136" s="207"/>
      <c r="U136" s="208"/>
      <c r="V136" s="208"/>
      <c r="W136" s="208"/>
      <c r="X136" s="208"/>
      <c r="Y136" s="208"/>
      <c r="Z136" s="208"/>
      <c r="AA136" s="208"/>
      <c r="AB136" s="208"/>
    </row>
    <row r="137" spans="1:28" ht="30" customHeight="1">
      <c r="A137" s="212" t="s">
        <v>26</v>
      </c>
      <c r="B137" s="36">
        <v>20</v>
      </c>
      <c r="C137" s="36">
        <v>20</v>
      </c>
      <c r="D137" s="23">
        <v>20</v>
      </c>
      <c r="E137" s="110">
        <v>0.7</v>
      </c>
      <c r="F137" s="110">
        <v>0.2</v>
      </c>
      <c r="G137" s="110">
        <v>9.4</v>
      </c>
      <c r="H137" s="256">
        <v>41.3</v>
      </c>
      <c r="K137" s="322" t="s">
        <v>187</v>
      </c>
      <c r="L137" s="15">
        <v>1</v>
      </c>
      <c r="M137" s="373"/>
      <c r="N137" s="370"/>
      <c r="O137" s="370"/>
      <c r="P137" s="65"/>
      <c r="Q137" s="203"/>
      <c r="R137" s="12"/>
      <c r="S137" s="12"/>
      <c r="T137" s="371"/>
      <c r="U137" s="372"/>
      <c r="V137" s="372"/>
      <c r="W137" s="372"/>
      <c r="X137" s="372"/>
      <c r="Y137" s="372"/>
      <c r="Z137" s="372"/>
      <c r="AA137" s="372"/>
      <c r="AB137" s="372"/>
    </row>
    <row r="138" spans="1:11" s="9" customFormat="1" ht="30" customHeight="1">
      <c r="A138" s="479" t="s">
        <v>58</v>
      </c>
      <c r="B138" s="479"/>
      <c r="C138" s="479"/>
      <c r="D138" s="263">
        <f>D139+270+140+D188+D192</f>
        <v>820</v>
      </c>
      <c r="E138" s="99">
        <f>E139+E151+E172+E188+E192+E198+E200</f>
        <v>25.25</v>
      </c>
      <c r="F138" s="99">
        <f>F139+F151+F172+F188+F192+F198+F200</f>
        <v>27.300000000000004</v>
      </c>
      <c r="G138" s="99">
        <f>G139+G151+G172+G188+G192+G198+G200</f>
        <v>119.6</v>
      </c>
      <c r="H138" s="96">
        <f>H139+H151+H172+H188+H192+H198+H200</f>
        <v>823.4</v>
      </c>
      <c r="I138" s="274"/>
      <c r="K138" s="335"/>
    </row>
    <row r="139" spans="1:9" ht="30" customHeight="1">
      <c r="A139" s="482" t="s">
        <v>285</v>
      </c>
      <c r="B139" s="482"/>
      <c r="C139" s="482"/>
      <c r="D139" s="23">
        <v>60</v>
      </c>
      <c r="E139" s="110">
        <v>1.9</v>
      </c>
      <c r="F139" s="110">
        <v>3.9</v>
      </c>
      <c r="G139" s="110">
        <v>5.9</v>
      </c>
      <c r="H139" s="256">
        <f>E139*4+F139*9+G139*4</f>
        <v>66.30000000000001</v>
      </c>
      <c r="I139" s="290" t="s">
        <v>286</v>
      </c>
    </row>
    <row r="140" spans="1:10" ht="30" customHeight="1">
      <c r="A140" s="51" t="s">
        <v>12</v>
      </c>
      <c r="B140" s="35">
        <f>C140*1.33</f>
        <v>43.89</v>
      </c>
      <c r="C140" s="36">
        <v>33</v>
      </c>
      <c r="D140" s="138"/>
      <c r="E140" s="137"/>
      <c r="F140" s="137"/>
      <c r="G140" s="137"/>
      <c r="H140" s="137"/>
      <c r="I140" s="274"/>
      <c r="J140" s="9"/>
    </row>
    <row r="141" spans="1:11" s="9" customFormat="1" ht="30" customHeight="1">
      <c r="A141" s="51" t="s">
        <v>13</v>
      </c>
      <c r="B141" s="35">
        <f>C141*1.43</f>
        <v>47.19</v>
      </c>
      <c r="C141" s="36">
        <v>33</v>
      </c>
      <c r="D141" s="138"/>
      <c r="E141" s="137"/>
      <c r="F141" s="137"/>
      <c r="G141" s="137"/>
      <c r="H141" s="137"/>
      <c r="I141" s="274"/>
      <c r="K141" s="335"/>
    </row>
    <row r="142" spans="1:11" s="9" customFormat="1" ht="30" customHeight="1">
      <c r="A142" s="51" t="s">
        <v>14</v>
      </c>
      <c r="B142" s="35">
        <f>C142*1.54</f>
        <v>50.82</v>
      </c>
      <c r="C142" s="36">
        <v>33</v>
      </c>
      <c r="D142" s="138"/>
      <c r="E142" s="137"/>
      <c r="F142" s="137"/>
      <c r="G142" s="137"/>
      <c r="H142" s="137"/>
      <c r="I142" s="274"/>
      <c r="K142" s="335"/>
    </row>
    <row r="143" spans="1:11" s="9" customFormat="1" ht="30" customHeight="1">
      <c r="A143" s="53" t="s">
        <v>15</v>
      </c>
      <c r="B143" s="35">
        <f>C143*1.67</f>
        <v>55.11</v>
      </c>
      <c r="C143" s="36">
        <v>33</v>
      </c>
      <c r="D143" s="138"/>
      <c r="E143" s="158"/>
      <c r="F143" s="158"/>
      <c r="G143" s="137"/>
      <c r="H143" s="137"/>
      <c r="I143" s="274"/>
      <c r="K143" s="335"/>
    </row>
    <row r="144" spans="1:11" s="9" customFormat="1" ht="30" customHeight="1">
      <c r="A144" s="53" t="s">
        <v>287</v>
      </c>
      <c r="B144" s="35"/>
      <c r="C144" s="36">
        <v>30</v>
      </c>
      <c r="D144" s="23"/>
      <c r="E144" s="44"/>
      <c r="F144" s="44"/>
      <c r="G144" s="44"/>
      <c r="H144" s="294"/>
      <c r="I144" s="278"/>
      <c r="K144" s="335"/>
    </row>
    <row r="145" spans="1:11" s="9" customFormat="1" ht="30" customHeight="1">
      <c r="A145" s="51" t="s">
        <v>112</v>
      </c>
      <c r="B145" s="35">
        <f>C145*1.82</f>
        <v>12.74</v>
      </c>
      <c r="C145" s="36">
        <v>7</v>
      </c>
      <c r="D145" s="138"/>
      <c r="E145" s="137"/>
      <c r="F145" s="137"/>
      <c r="G145" s="137"/>
      <c r="H145" s="137"/>
      <c r="I145" s="274"/>
      <c r="K145" s="335"/>
    </row>
    <row r="146" spans="1:11" s="9" customFormat="1" ht="30" customHeight="1">
      <c r="A146" s="56" t="s">
        <v>50</v>
      </c>
      <c r="B146" s="35">
        <f>C146*1.54</f>
        <v>9.24</v>
      </c>
      <c r="C146" s="36">
        <v>6</v>
      </c>
      <c r="D146" s="138"/>
      <c r="E146" s="137"/>
      <c r="F146" s="137"/>
      <c r="G146" s="137"/>
      <c r="H146" s="137"/>
      <c r="I146" s="274"/>
      <c r="K146" s="335"/>
    </row>
    <row r="147" spans="1:11" s="9" customFormat="1" ht="30" customHeight="1">
      <c r="A147" s="53" t="s">
        <v>86</v>
      </c>
      <c r="B147" s="35">
        <v>12</v>
      </c>
      <c r="C147" s="36">
        <v>12</v>
      </c>
      <c r="D147" s="138"/>
      <c r="E147" s="158"/>
      <c r="F147" s="137"/>
      <c r="G147" s="137"/>
      <c r="H147" s="137"/>
      <c r="I147" s="274"/>
      <c r="K147" s="335"/>
    </row>
    <row r="148" spans="1:11" s="9" customFormat="1" ht="30" customHeight="1">
      <c r="A148" s="51" t="s">
        <v>18</v>
      </c>
      <c r="B148" s="35">
        <f>C148*1.19</f>
        <v>4.76</v>
      </c>
      <c r="C148" s="35">
        <v>4</v>
      </c>
      <c r="D148" s="138"/>
      <c r="E148" s="137"/>
      <c r="F148" s="137"/>
      <c r="G148" s="137"/>
      <c r="H148" s="137"/>
      <c r="I148" s="274"/>
      <c r="K148" s="335"/>
    </row>
    <row r="149" spans="1:10" ht="30" customHeight="1">
      <c r="A149" s="496" t="s">
        <v>379</v>
      </c>
      <c r="B149" s="496"/>
      <c r="C149" s="496"/>
      <c r="D149" s="23"/>
      <c r="E149" s="95"/>
      <c r="F149" s="95"/>
      <c r="G149" s="95"/>
      <c r="H149" s="87"/>
      <c r="I149" s="273"/>
      <c r="J149" s="9"/>
    </row>
    <row r="150" spans="1:10" ht="30" customHeight="1">
      <c r="A150" s="51" t="s">
        <v>11</v>
      </c>
      <c r="B150" s="5">
        <v>3</v>
      </c>
      <c r="C150" s="5">
        <v>3</v>
      </c>
      <c r="D150" s="138"/>
      <c r="E150" s="137"/>
      <c r="F150" s="137"/>
      <c r="G150" s="137"/>
      <c r="H150" s="137"/>
      <c r="I150" s="274"/>
      <c r="J150" s="9"/>
    </row>
    <row r="151" spans="1:10" ht="30" customHeight="1">
      <c r="A151" s="486" t="s">
        <v>327</v>
      </c>
      <c r="B151" s="478"/>
      <c r="C151" s="478"/>
      <c r="D151" s="187" t="s">
        <v>134</v>
      </c>
      <c r="E151" s="44">
        <v>4.2</v>
      </c>
      <c r="F151" s="294">
        <v>5.1</v>
      </c>
      <c r="G151" s="44">
        <v>12.7</v>
      </c>
      <c r="H151" s="256">
        <f>E151*4+F151*9+G151*4</f>
        <v>113.5</v>
      </c>
      <c r="I151" s="276" t="s">
        <v>328</v>
      </c>
      <c r="J151" s="9"/>
    </row>
    <row r="152" spans="1:11" s="7" customFormat="1" ht="30" customHeight="1">
      <c r="A152" s="188" t="s">
        <v>231</v>
      </c>
      <c r="B152" s="160"/>
      <c r="C152" s="187">
        <v>15</v>
      </c>
      <c r="D152" s="187"/>
      <c r="E152" s="44"/>
      <c r="F152" s="294"/>
      <c r="G152" s="44"/>
      <c r="H152" s="43"/>
      <c r="I152" s="276" t="s">
        <v>232</v>
      </c>
      <c r="J152" s="9"/>
      <c r="K152" s="341"/>
    </row>
    <row r="153" spans="1:10" ht="30" customHeight="1">
      <c r="A153" s="86" t="s">
        <v>88</v>
      </c>
      <c r="B153" s="48">
        <f>C153*1.36</f>
        <v>23.12</v>
      </c>
      <c r="C153" s="5">
        <v>17</v>
      </c>
      <c r="D153" s="31"/>
      <c r="E153" s="85"/>
      <c r="F153" s="85"/>
      <c r="G153" s="85"/>
      <c r="H153" s="258"/>
      <c r="I153" s="274"/>
      <c r="J153" s="9"/>
    </row>
    <row r="154" spans="1:10" ht="30" customHeight="1">
      <c r="A154" s="86" t="s">
        <v>89</v>
      </c>
      <c r="B154" s="48">
        <f>C154*1.18</f>
        <v>20.06</v>
      </c>
      <c r="C154" s="35">
        <v>17</v>
      </c>
      <c r="D154" s="31"/>
      <c r="E154" s="85"/>
      <c r="F154" s="85"/>
      <c r="G154" s="85"/>
      <c r="H154" s="258"/>
      <c r="I154" s="274"/>
      <c r="J154" s="9"/>
    </row>
    <row r="155" spans="1:10" ht="30" customHeight="1">
      <c r="A155" s="51" t="s">
        <v>18</v>
      </c>
      <c r="B155" s="87">
        <f>C155*1.19</f>
        <v>1.785</v>
      </c>
      <c r="C155" s="95">
        <v>1.5</v>
      </c>
      <c r="D155" s="152"/>
      <c r="E155" s="85"/>
      <c r="F155" s="85"/>
      <c r="G155" s="85"/>
      <c r="H155" s="258"/>
      <c r="I155" s="274"/>
      <c r="J155" s="9"/>
    </row>
    <row r="156" spans="1:11" s="9" customFormat="1" ht="30" customHeight="1">
      <c r="A156" s="51" t="s">
        <v>63</v>
      </c>
      <c r="B156" s="95">
        <v>1.5</v>
      </c>
      <c r="C156" s="95">
        <v>1.5</v>
      </c>
      <c r="D156" s="152"/>
      <c r="E156" s="85"/>
      <c r="F156" s="85"/>
      <c r="G156" s="85"/>
      <c r="H156" s="258"/>
      <c r="I156" s="274"/>
      <c r="K156" s="335"/>
    </row>
    <row r="157" spans="1:11" s="9" customFormat="1" ht="30" customHeight="1">
      <c r="A157" s="51" t="s">
        <v>86</v>
      </c>
      <c r="B157" s="95">
        <v>1.2</v>
      </c>
      <c r="C157" s="95">
        <v>1.2</v>
      </c>
      <c r="D157" s="152"/>
      <c r="E157" s="85"/>
      <c r="F157" s="85"/>
      <c r="G157" s="85"/>
      <c r="H157" s="258"/>
      <c r="I157" s="274"/>
      <c r="K157" s="335"/>
    </row>
    <row r="158" spans="1:11" s="9" customFormat="1" ht="30" customHeight="1">
      <c r="A158" s="51" t="s">
        <v>17</v>
      </c>
      <c r="B158" s="5">
        <f>C158*1.25</f>
        <v>50</v>
      </c>
      <c r="C158" s="5">
        <v>40</v>
      </c>
      <c r="D158" s="36"/>
      <c r="E158" s="95"/>
      <c r="F158" s="95"/>
      <c r="G158" s="95"/>
      <c r="H158" s="296"/>
      <c r="I158" s="274"/>
      <c r="K158" s="335"/>
    </row>
    <row r="159" spans="1:11" s="9" customFormat="1" ht="30" customHeight="1">
      <c r="A159" s="51" t="s">
        <v>16</v>
      </c>
      <c r="B159" s="35">
        <f>C159*1.33</f>
        <v>53.2</v>
      </c>
      <c r="C159" s="5">
        <v>40</v>
      </c>
      <c r="D159" s="36"/>
      <c r="E159" s="95"/>
      <c r="F159" s="95"/>
      <c r="G159" s="301"/>
      <c r="H159" s="300"/>
      <c r="I159" s="274"/>
      <c r="K159" s="335"/>
    </row>
    <row r="160" spans="1:11" s="9" customFormat="1" ht="30" customHeight="1">
      <c r="A160" s="51" t="s">
        <v>56</v>
      </c>
      <c r="B160" s="5">
        <f>C160*1.25</f>
        <v>25</v>
      </c>
      <c r="C160" s="5">
        <v>20</v>
      </c>
      <c r="D160" s="36"/>
      <c r="E160" s="95"/>
      <c r="F160" s="95"/>
      <c r="G160" s="95"/>
      <c r="H160" s="300"/>
      <c r="I160" s="274"/>
      <c r="K160" s="335"/>
    </row>
    <row r="161" spans="1:11" s="9" customFormat="1" ht="30" customHeight="1">
      <c r="A161" s="51" t="s">
        <v>12</v>
      </c>
      <c r="B161" s="35">
        <f>C161*1.33</f>
        <v>26.6</v>
      </c>
      <c r="C161" s="5">
        <v>20</v>
      </c>
      <c r="D161" s="36"/>
      <c r="E161" s="95"/>
      <c r="F161" s="95"/>
      <c r="G161" s="301"/>
      <c r="H161" s="300"/>
      <c r="I161" s="274"/>
      <c r="K161" s="335"/>
    </row>
    <row r="162" spans="1:12" s="9" customFormat="1" ht="30" customHeight="1">
      <c r="A162" s="51" t="s">
        <v>13</v>
      </c>
      <c r="B162" s="35">
        <f>C162*1.43</f>
        <v>28.599999999999998</v>
      </c>
      <c r="C162" s="5">
        <v>20</v>
      </c>
      <c r="D162" s="36"/>
      <c r="E162" s="95"/>
      <c r="F162" s="95"/>
      <c r="G162" s="301"/>
      <c r="H162" s="300"/>
      <c r="I162" s="274"/>
      <c r="K162" s="335"/>
      <c r="L162" s="114"/>
    </row>
    <row r="163" spans="1:12" ht="30" customHeight="1">
      <c r="A163" s="53" t="s">
        <v>14</v>
      </c>
      <c r="B163" s="35">
        <f>C163*1.54</f>
        <v>30.8</v>
      </c>
      <c r="C163" s="5">
        <v>20</v>
      </c>
      <c r="D163" s="36"/>
      <c r="E163" s="95"/>
      <c r="F163" s="95"/>
      <c r="G163" s="301"/>
      <c r="H163" s="300"/>
      <c r="I163" s="274"/>
      <c r="J163" s="9"/>
      <c r="K163" s="335"/>
      <c r="L163" s="9"/>
    </row>
    <row r="164" spans="1:12" s="9" customFormat="1" ht="30" customHeight="1">
      <c r="A164" s="53" t="s">
        <v>15</v>
      </c>
      <c r="B164" s="35">
        <f>C164*1.67</f>
        <v>33.4</v>
      </c>
      <c r="C164" s="5">
        <v>20</v>
      </c>
      <c r="D164" s="36"/>
      <c r="E164" s="83"/>
      <c r="F164" s="83"/>
      <c r="G164" s="83"/>
      <c r="H164" s="43"/>
      <c r="I164" s="274"/>
      <c r="K164" s="335"/>
      <c r="L164" s="1"/>
    </row>
    <row r="165" spans="1:12" s="166" customFormat="1" ht="30" customHeight="1">
      <c r="A165" s="51" t="s">
        <v>61</v>
      </c>
      <c r="B165" s="5">
        <f>C165*1.25</f>
        <v>12.5</v>
      </c>
      <c r="C165" s="5">
        <v>10</v>
      </c>
      <c r="D165" s="36"/>
      <c r="E165" s="95"/>
      <c r="F165" s="95"/>
      <c r="G165" s="95"/>
      <c r="H165" s="296"/>
      <c r="I165" s="274"/>
      <c r="J165" s="15"/>
      <c r="K165" s="339"/>
      <c r="L165" s="1"/>
    </row>
    <row r="166" spans="1:12" ht="30" customHeight="1">
      <c r="A166" s="51" t="s">
        <v>16</v>
      </c>
      <c r="B166" s="40">
        <f>C166*1.33</f>
        <v>13.3</v>
      </c>
      <c r="C166" s="5">
        <v>10</v>
      </c>
      <c r="D166" s="36"/>
      <c r="E166" s="95"/>
      <c r="F166" s="95"/>
      <c r="G166" s="95"/>
      <c r="H166" s="296"/>
      <c r="I166" s="274"/>
      <c r="J166" s="15"/>
      <c r="K166" s="339"/>
      <c r="L166" s="1"/>
    </row>
    <row r="167" spans="1:12" s="9" customFormat="1" ht="30" customHeight="1">
      <c r="A167" s="51" t="s">
        <v>18</v>
      </c>
      <c r="B167" s="37">
        <f>C167*1.19</f>
        <v>11.899999999999999</v>
      </c>
      <c r="C167" s="5">
        <v>10</v>
      </c>
      <c r="D167" s="36"/>
      <c r="E167" s="95"/>
      <c r="F167" s="95"/>
      <c r="G167" s="95"/>
      <c r="H167" s="296"/>
      <c r="I167" s="274"/>
      <c r="J167" s="15"/>
      <c r="K167" s="339"/>
      <c r="L167" s="1"/>
    </row>
    <row r="168" spans="1:12" ht="30" customHeight="1">
      <c r="A168" s="57" t="s">
        <v>54</v>
      </c>
      <c r="B168" s="35">
        <v>7</v>
      </c>
      <c r="C168" s="5">
        <v>7</v>
      </c>
      <c r="D168" s="36"/>
      <c r="E168" s="95"/>
      <c r="F168" s="95"/>
      <c r="G168" s="95"/>
      <c r="H168" s="296"/>
      <c r="I168" s="274"/>
      <c r="J168" s="15"/>
      <c r="K168" s="339"/>
      <c r="L168" s="1"/>
    </row>
    <row r="169" spans="1:12" ht="30" customHeight="1">
      <c r="A169" s="51" t="s">
        <v>19</v>
      </c>
      <c r="B169" s="5">
        <v>5</v>
      </c>
      <c r="C169" s="5">
        <v>5</v>
      </c>
      <c r="D169" s="36"/>
      <c r="E169" s="95"/>
      <c r="F169" s="95"/>
      <c r="G169" s="95"/>
      <c r="H169" s="296"/>
      <c r="I169" s="274"/>
      <c r="J169" s="15"/>
      <c r="K169" s="339"/>
      <c r="L169" s="63"/>
    </row>
    <row r="170" spans="1:12" ht="30" customHeight="1">
      <c r="A170" s="51" t="s">
        <v>57</v>
      </c>
      <c r="B170" s="5">
        <v>5</v>
      </c>
      <c r="C170" s="5">
        <v>5</v>
      </c>
      <c r="D170" s="5"/>
      <c r="E170" s="95"/>
      <c r="F170" s="95"/>
      <c r="G170" s="95"/>
      <c r="H170" s="296"/>
      <c r="I170" s="274"/>
      <c r="J170" s="15"/>
      <c r="K170" s="339"/>
      <c r="L170" s="63"/>
    </row>
    <row r="171" spans="1:12" ht="30" customHeight="1">
      <c r="A171" s="53" t="s">
        <v>73</v>
      </c>
      <c r="B171" s="40">
        <v>0.2</v>
      </c>
      <c r="C171" s="40">
        <v>0.2</v>
      </c>
      <c r="D171" s="31"/>
      <c r="E171" s="85"/>
      <c r="F171" s="85"/>
      <c r="G171" s="85"/>
      <c r="H171" s="258"/>
      <c r="I171" s="301"/>
      <c r="J171" s="15"/>
      <c r="K171" s="339"/>
      <c r="L171" s="1"/>
    </row>
    <row r="172" spans="1:12" ht="30" customHeight="1">
      <c r="A172" s="484" t="s">
        <v>406</v>
      </c>
      <c r="B172" s="484"/>
      <c r="C172" s="484"/>
      <c r="D172" s="21" t="s">
        <v>513</v>
      </c>
      <c r="E172" s="110">
        <v>12.5</v>
      </c>
      <c r="F172" s="110">
        <v>14</v>
      </c>
      <c r="G172" s="110">
        <v>11.7</v>
      </c>
      <c r="H172" s="256">
        <f>G172*4+F172*9+E172*4</f>
        <v>222.8</v>
      </c>
      <c r="I172" s="276" t="s">
        <v>404</v>
      </c>
      <c r="J172" s="15"/>
      <c r="K172" s="339"/>
      <c r="L172" s="63"/>
    </row>
    <row r="173" spans="1:12" ht="30" customHeight="1">
      <c r="A173" s="86" t="s">
        <v>93</v>
      </c>
      <c r="B173" s="48">
        <f>C174*1.79</f>
        <v>89.5</v>
      </c>
      <c r="C173" s="87">
        <v>75</v>
      </c>
      <c r="D173" s="35"/>
      <c r="E173" s="409"/>
      <c r="F173" s="409"/>
      <c r="G173" s="409"/>
      <c r="H173" s="410"/>
      <c r="I173" s="274"/>
      <c r="J173" s="15"/>
      <c r="K173" s="339"/>
      <c r="L173" s="63"/>
    </row>
    <row r="174" spans="1:12" ht="30" customHeight="1">
      <c r="A174" s="53" t="s">
        <v>512</v>
      </c>
      <c r="B174" s="37"/>
      <c r="C174" s="87">
        <v>50</v>
      </c>
      <c r="D174" s="35"/>
      <c r="E174" s="409"/>
      <c r="F174" s="409"/>
      <c r="G174" s="409"/>
      <c r="H174" s="410"/>
      <c r="I174" s="274"/>
      <c r="J174" s="15"/>
      <c r="K174" s="339"/>
      <c r="L174" s="63"/>
    </row>
    <row r="175" spans="1:12" ht="30" customHeight="1">
      <c r="A175" s="451" t="s">
        <v>23</v>
      </c>
      <c r="B175" s="87">
        <v>14</v>
      </c>
      <c r="C175" s="87">
        <v>14</v>
      </c>
      <c r="D175" s="35"/>
      <c r="E175" s="409"/>
      <c r="F175" s="409"/>
      <c r="G175" s="409"/>
      <c r="H175" s="256"/>
      <c r="I175" s="274"/>
      <c r="J175" s="15"/>
      <c r="K175" s="339"/>
      <c r="L175" s="63"/>
    </row>
    <row r="176" spans="1:12" ht="30" customHeight="1">
      <c r="A176" s="451" t="s">
        <v>407</v>
      </c>
      <c r="B176" s="87"/>
      <c r="C176" s="87">
        <v>39</v>
      </c>
      <c r="D176" s="35"/>
      <c r="E176" s="85"/>
      <c r="F176" s="85"/>
      <c r="G176" s="85"/>
      <c r="H176" s="85"/>
      <c r="I176" s="274"/>
      <c r="J176" s="15"/>
      <c r="K176" s="339"/>
      <c r="L176" s="63"/>
    </row>
    <row r="177" spans="1:12" s="9" customFormat="1" ht="30" customHeight="1">
      <c r="A177" s="51" t="s">
        <v>18</v>
      </c>
      <c r="B177" s="37">
        <f>C177*1.19</f>
        <v>30.939999999999998</v>
      </c>
      <c r="C177" s="5">
        <v>26</v>
      </c>
      <c r="D177" s="35"/>
      <c r="E177" s="95"/>
      <c r="F177" s="95"/>
      <c r="G177" s="95"/>
      <c r="H177" s="296"/>
      <c r="I177" s="274"/>
      <c r="J177" s="15"/>
      <c r="K177" s="339"/>
      <c r="L177" s="63"/>
    </row>
    <row r="178" spans="1:12" s="9" customFormat="1" ht="30" customHeight="1">
      <c r="A178" s="53" t="s">
        <v>514</v>
      </c>
      <c r="B178" s="5">
        <v>5</v>
      </c>
      <c r="C178" s="5">
        <v>5</v>
      </c>
      <c r="D178" s="35"/>
      <c r="E178" s="95"/>
      <c r="F178" s="95"/>
      <c r="G178" s="95"/>
      <c r="H178" s="296"/>
      <c r="I178" s="274"/>
      <c r="J178" s="15"/>
      <c r="K178" s="339"/>
      <c r="L178" s="63"/>
    </row>
    <row r="179" spans="1:12" ht="30" customHeight="1">
      <c r="A179" s="451" t="s">
        <v>153</v>
      </c>
      <c r="B179" s="87"/>
      <c r="C179" s="87">
        <v>13</v>
      </c>
      <c r="D179" s="35"/>
      <c r="E179" s="409"/>
      <c r="F179" s="409"/>
      <c r="G179" s="409"/>
      <c r="H179" s="410"/>
      <c r="J179" s="70"/>
      <c r="K179" s="363"/>
      <c r="L179" s="63"/>
    </row>
    <row r="180" spans="1:12" s="114" customFormat="1" ht="30" customHeight="1">
      <c r="A180" s="451" t="s">
        <v>86</v>
      </c>
      <c r="B180" s="87">
        <v>17</v>
      </c>
      <c r="C180" s="87">
        <v>17</v>
      </c>
      <c r="D180" s="35"/>
      <c r="E180" s="41"/>
      <c r="F180" s="41"/>
      <c r="G180" s="41"/>
      <c r="H180" s="37"/>
      <c r="I180" s="411"/>
      <c r="J180" s="9"/>
      <c r="K180" s="335"/>
      <c r="L180" s="1"/>
    </row>
    <row r="181" spans="1:12" s="114" customFormat="1" ht="30" customHeight="1">
      <c r="A181" s="56" t="s">
        <v>21</v>
      </c>
      <c r="B181" s="90">
        <v>6.5</v>
      </c>
      <c r="C181" s="90">
        <v>6.5</v>
      </c>
      <c r="D181" s="35"/>
      <c r="E181" s="41"/>
      <c r="F181" s="41"/>
      <c r="G181" s="41"/>
      <c r="H181" s="37"/>
      <c r="I181" s="411"/>
      <c r="J181" s="9"/>
      <c r="K181" s="335"/>
      <c r="L181" s="1"/>
    </row>
    <row r="182" spans="1:8" ht="30" customHeight="1">
      <c r="A182" s="53" t="s">
        <v>424</v>
      </c>
      <c r="B182" s="5">
        <v>2</v>
      </c>
      <c r="C182" s="5">
        <v>2</v>
      </c>
      <c r="D182" s="35"/>
      <c r="E182" s="409"/>
      <c r="F182" s="409"/>
      <c r="G182" s="409"/>
      <c r="H182" s="410"/>
    </row>
    <row r="183" spans="1:12" ht="30" customHeight="1">
      <c r="A183" s="398" t="s">
        <v>405</v>
      </c>
      <c r="B183" s="356"/>
      <c r="C183" s="233">
        <v>50</v>
      </c>
      <c r="D183" s="23"/>
      <c r="E183" s="110"/>
      <c r="F183" s="110"/>
      <c r="G183" s="110"/>
      <c r="H183" s="256"/>
      <c r="I183" s="261" t="s">
        <v>366</v>
      </c>
      <c r="J183" s="9"/>
      <c r="K183" s="335"/>
      <c r="L183" s="9"/>
    </row>
    <row r="184" spans="1:12" ht="30" customHeight="1">
      <c r="A184" s="56" t="s">
        <v>367</v>
      </c>
      <c r="B184" s="243">
        <v>12.5</v>
      </c>
      <c r="C184" s="243">
        <v>12.5</v>
      </c>
      <c r="D184" s="36"/>
      <c r="E184" s="41"/>
      <c r="F184" s="41"/>
      <c r="G184" s="41"/>
      <c r="H184" s="37"/>
      <c r="I184" s="412"/>
      <c r="J184" s="9"/>
      <c r="K184" s="335"/>
      <c r="L184" s="9"/>
    </row>
    <row r="185" spans="1:12" ht="30" customHeight="1">
      <c r="A185" s="56" t="s">
        <v>21</v>
      </c>
      <c r="B185" s="90">
        <v>3</v>
      </c>
      <c r="C185" s="90">
        <v>3</v>
      </c>
      <c r="D185" s="36"/>
      <c r="E185" s="41"/>
      <c r="F185" s="41"/>
      <c r="G185" s="41"/>
      <c r="H185" s="37"/>
      <c r="I185" s="411"/>
      <c r="J185" s="9"/>
      <c r="K185" s="335"/>
      <c r="L185" s="9"/>
    </row>
    <row r="186" spans="1:12" ht="30" customHeight="1">
      <c r="A186" s="56" t="s">
        <v>63</v>
      </c>
      <c r="B186" s="243">
        <v>37.5</v>
      </c>
      <c r="C186" s="243">
        <v>37.5</v>
      </c>
      <c r="D186" s="36"/>
      <c r="E186" s="41"/>
      <c r="F186" s="41"/>
      <c r="G186" s="41"/>
      <c r="H186" s="37"/>
      <c r="I186" s="411"/>
      <c r="J186" s="9"/>
      <c r="K186" s="335"/>
      <c r="L186" s="9"/>
    </row>
    <row r="187" spans="1:12" ht="30" customHeight="1">
      <c r="A187" s="56" t="s">
        <v>54</v>
      </c>
      <c r="B187" s="90">
        <v>5</v>
      </c>
      <c r="C187" s="90">
        <v>5</v>
      </c>
      <c r="D187" s="36"/>
      <c r="E187" s="41"/>
      <c r="F187" s="41"/>
      <c r="G187" s="41"/>
      <c r="H187" s="37"/>
      <c r="I187" s="411"/>
      <c r="J187" s="9"/>
      <c r="K187" s="335"/>
      <c r="L187" s="9"/>
    </row>
    <row r="188" spans="1:11" s="9" customFormat="1" ht="30" customHeight="1">
      <c r="A188" s="477" t="s">
        <v>307</v>
      </c>
      <c r="B188" s="478"/>
      <c r="C188" s="478"/>
      <c r="D188" s="21">
        <v>150</v>
      </c>
      <c r="E188" s="44">
        <v>3.7</v>
      </c>
      <c r="F188" s="44">
        <v>3.6</v>
      </c>
      <c r="G188" s="44">
        <v>34.1</v>
      </c>
      <c r="H188" s="43">
        <f>G188*4+F188*9+E188*4</f>
        <v>183.60000000000002</v>
      </c>
      <c r="I188" s="276" t="s">
        <v>308</v>
      </c>
      <c r="K188" s="335"/>
    </row>
    <row r="189" spans="1:11" ht="30" customHeight="1">
      <c r="A189" s="53" t="s">
        <v>23</v>
      </c>
      <c r="B189" s="5">
        <v>54</v>
      </c>
      <c r="C189" s="5">
        <v>54</v>
      </c>
      <c r="D189" s="36"/>
      <c r="E189" s="95"/>
      <c r="F189" s="95"/>
      <c r="G189" s="95"/>
      <c r="H189" s="296"/>
      <c r="I189" s="274"/>
      <c r="J189" s="9"/>
      <c r="K189" s="335"/>
    </row>
    <row r="190" spans="1:11" s="9" customFormat="1" ht="30" customHeight="1">
      <c r="A190" s="53" t="s">
        <v>63</v>
      </c>
      <c r="B190" s="5">
        <f>B189*6</f>
        <v>324</v>
      </c>
      <c r="C190" s="5">
        <f>C189*6</f>
        <v>324</v>
      </c>
      <c r="D190" s="36"/>
      <c r="E190" s="95"/>
      <c r="F190" s="95"/>
      <c r="G190" s="95"/>
      <c r="H190" s="296"/>
      <c r="I190" s="274"/>
      <c r="K190" s="335"/>
    </row>
    <row r="191" spans="1:12" s="9" customFormat="1" ht="30" customHeight="1">
      <c r="A191" s="53" t="s">
        <v>19</v>
      </c>
      <c r="B191" s="5">
        <v>4</v>
      </c>
      <c r="C191" s="5">
        <v>4</v>
      </c>
      <c r="D191" s="36"/>
      <c r="E191" s="95"/>
      <c r="F191" s="95"/>
      <c r="G191" s="95"/>
      <c r="H191" s="296"/>
      <c r="I191" s="274"/>
      <c r="K191" s="335"/>
      <c r="L191" s="15"/>
    </row>
    <row r="192" spans="1:12" ht="30" customHeight="1">
      <c r="A192" s="356" t="s">
        <v>229</v>
      </c>
      <c r="B192" s="23">
        <v>200</v>
      </c>
      <c r="C192" s="23">
        <v>200</v>
      </c>
      <c r="D192" s="23">
        <v>200</v>
      </c>
      <c r="E192" s="44">
        <v>0.5</v>
      </c>
      <c r="F192" s="110">
        <v>0.1</v>
      </c>
      <c r="G192" s="110">
        <v>28</v>
      </c>
      <c r="H192" s="256">
        <f>G192*4+F192*9+E192*4</f>
        <v>114.9</v>
      </c>
      <c r="I192" s="261" t="s">
        <v>230</v>
      </c>
      <c r="L192" s="293"/>
    </row>
    <row r="193" spans="1:12" ht="30" customHeight="1">
      <c r="A193" s="483" t="s">
        <v>70</v>
      </c>
      <c r="B193" s="483"/>
      <c r="C193" s="483"/>
      <c r="D193" s="483"/>
      <c r="E193" s="483"/>
      <c r="F193" s="483"/>
      <c r="G193" s="483"/>
      <c r="H193" s="483"/>
      <c r="L193" s="69"/>
    </row>
    <row r="194" spans="1:12" s="9" customFormat="1" ht="30" customHeight="1">
      <c r="A194" s="485" t="s">
        <v>262</v>
      </c>
      <c r="B194" s="478"/>
      <c r="C194" s="478"/>
      <c r="D194" s="148">
        <v>200</v>
      </c>
      <c r="E194" s="105">
        <v>0.3</v>
      </c>
      <c r="F194" s="105">
        <v>0.3</v>
      </c>
      <c r="G194" s="105">
        <v>20.4</v>
      </c>
      <c r="H194" s="43">
        <f>G194*4+F194*9+E194*4</f>
        <v>85.5</v>
      </c>
      <c r="I194" s="276" t="s">
        <v>263</v>
      </c>
      <c r="K194" s="335"/>
      <c r="L194" s="69"/>
    </row>
    <row r="195" spans="1:12" ht="30" customHeight="1">
      <c r="A195" s="56" t="s">
        <v>165</v>
      </c>
      <c r="B195" s="50">
        <f>C195*1.14</f>
        <v>56.99999999999999</v>
      </c>
      <c r="C195" s="50">
        <v>50</v>
      </c>
      <c r="D195" s="239"/>
      <c r="E195" s="147"/>
      <c r="F195" s="147"/>
      <c r="G195" s="147"/>
      <c r="H195" s="265"/>
      <c r="J195" s="9"/>
      <c r="K195" s="335"/>
      <c r="L195" s="69"/>
    </row>
    <row r="196" spans="1:12" ht="30" customHeight="1">
      <c r="A196" s="76" t="s">
        <v>145</v>
      </c>
      <c r="B196" s="50">
        <f>C196*1.5</f>
        <v>10.5</v>
      </c>
      <c r="C196" s="50">
        <v>7</v>
      </c>
      <c r="D196" s="239"/>
      <c r="E196" s="147"/>
      <c r="F196" s="147"/>
      <c r="G196" s="147"/>
      <c r="H196" s="265"/>
      <c r="J196" s="9"/>
      <c r="K196" s="335"/>
      <c r="L196" s="3"/>
    </row>
    <row r="197" spans="1:12" ht="30" customHeight="1">
      <c r="A197" s="53" t="s">
        <v>4</v>
      </c>
      <c r="B197" s="50">
        <v>15</v>
      </c>
      <c r="C197" s="50">
        <v>15</v>
      </c>
      <c r="D197" s="239"/>
      <c r="E197" s="147"/>
      <c r="F197" s="147"/>
      <c r="G197" s="147"/>
      <c r="H197" s="265"/>
      <c r="J197" s="9"/>
      <c r="K197" s="335"/>
      <c r="L197" s="3"/>
    </row>
    <row r="198" spans="1:12" ht="30" customHeight="1">
      <c r="A198" s="354" t="s">
        <v>20</v>
      </c>
      <c r="B198" s="25">
        <v>30</v>
      </c>
      <c r="C198" s="25">
        <v>30</v>
      </c>
      <c r="D198" s="39">
        <v>30</v>
      </c>
      <c r="E198" s="366">
        <v>1.4</v>
      </c>
      <c r="F198" s="366">
        <v>0.3</v>
      </c>
      <c r="G198" s="366">
        <v>13.1</v>
      </c>
      <c r="H198" s="367">
        <v>60.8</v>
      </c>
      <c r="I198" s="368"/>
      <c r="L198" s="69"/>
    </row>
    <row r="199" spans="1:12" ht="30" customHeight="1">
      <c r="A199" s="477" t="s">
        <v>75</v>
      </c>
      <c r="B199" s="477"/>
      <c r="C199" s="477"/>
      <c r="D199" s="39">
        <v>30</v>
      </c>
      <c r="E199" s="41"/>
      <c r="F199" s="41"/>
      <c r="G199" s="41"/>
      <c r="H199" s="41"/>
      <c r="L199" s="69"/>
    </row>
    <row r="200" spans="1:12" ht="30" customHeight="1">
      <c r="A200" s="212" t="s">
        <v>26</v>
      </c>
      <c r="B200" s="36">
        <v>30</v>
      </c>
      <c r="C200" s="36">
        <v>30</v>
      </c>
      <c r="D200" s="23">
        <v>30</v>
      </c>
      <c r="E200" s="110">
        <v>1.05</v>
      </c>
      <c r="F200" s="110">
        <v>0.3</v>
      </c>
      <c r="G200" s="110">
        <v>14.1</v>
      </c>
      <c r="H200" s="256">
        <v>61.5</v>
      </c>
      <c r="L200" s="69"/>
    </row>
    <row r="201" spans="1:12" ht="30" customHeight="1">
      <c r="A201" s="475" t="s">
        <v>24</v>
      </c>
      <c r="B201" s="475"/>
      <c r="C201" s="475"/>
      <c r="D201" s="475"/>
      <c r="E201" s="99">
        <f>E138+E105</f>
        <v>46.349999999999994</v>
      </c>
      <c r="F201" s="99">
        <f>F138+F105</f>
        <v>45.7</v>
      </c>
      <c r="G201" s="99">
        <f>G138+G105</f>
        <v>189.2</v>
      </c>
      <c r="H201" s="96">
        <f>H138+H105</f>
        <v>1356.3</v>
      </c>
      <c r="I201" s="274"/>
      <c r="J201" s="9"/>
      <c r="K201" s="335"/>
      <c r="L201" s="3"/>
    </row>
    <row r="202" spans="1:12" s="9" customFormat="1" ht="30" customHeight="1">
      <c r="A202" s="490" t="s">
        <v>42</v>
      </c>
      <c r="B202" s="490"/>
      <c r="C202" s="490"/>
      <c r="D202" s="490"/>
      <c r="E202" s="490"/>
      <c r="F202" s="490"/>
      <c r="G202" s="490"/>
      <c r="H202" s="490"/>
      <c r="I202" s="490"/>
      <c r="K202" s="335"/>
      <c r="L202" s="3"/>
    </row>
    <row r="203" spans="1:12" s="9" customFormat="1" ht="30" customHeight="1">
      <c r="A203" s="487" t="s">
        <v>0</v>
      </c>
      <c r="B203" s="476" t="s">
        <v>6</v>
      </c>
      <c r="C203" s="476" t="s">
        <v>7</v>
      </c>
      <c r="D203" s="487" t="s">
        <v>5</v>
      </c>
      <c r="E203" s="487"/>
      <c r="F203" s="487"/>
      <c r="G203" s="487"/>
      <c r="H203" s="487"/>
      <c r="I203" s="487"/>
      <c r="K203" s="335"/>
      <c r="L203" s="3"/>
    </row>
    <row r="204" spans="1:12" s="9" customFormat="1" ht="30" customHeight="1">
      <c r="A204" s="487"/>
      <c r="B204" s="476"/>
      <c r="C204" s="476"/>
      <c r="D204" s="138" t="s">
        <v>8</v>
      </c>
      <c r="E204" s="301" t="s">
        <v>1</v>
      </c>
      <c r="F204" s="301" t="s">
        <v>2</v>
      </c>
      <c r="G204" s="301" t="s">
        <v>9</v>
      </c>
      <c r="H204" s="300" t="s">
        <v>3</v>
      </c>
      <c r="I204" s="302" t="s">
        <v>199</v>
      </c>
      <c r="K204" s="335"/>
      <c r="L204" s="3"/>
    </row>
    <row r="205" spans="1:12" ht="30" customHeight="1">
      <c r="A205" s="479" t="s">
        <v>109</v>
      </c>
      <c r="B205" s="479"/>
      <c r="C205" s="479"/>
      <c r="D205" s="263">
        <f>35+D221+207+D236</f>
        <v>542</v>
      </c>
      <c r="E205" s="99">
        <f>E206+E221+E232++E236</f>
        <v>21.799999999999997</v>
      </c>
      <c r="F205" s="99">
        <f>F206+F221+F232++F236</f>
        <v>22.924999999999997</v>
      </c>
      <c r="G205" s="99">
        <f>G206+G221+G232++G236</f>
        <v>52</v>
      </c>
      <c r="H205" s="99">
        <f>H206+H221+H232++H236</f>
        <v>501.525</v>
      </c>
      <c r="I205" s="274"/>
      <c r="K205" s="336" t="s">
        <v>42</v>
      </c>
      <c r="L205" s="9"/>
    </row>
    <row r="206" spans="1:12" ht="30" customHeight="1">
      <c r="A206" s="491" t="s">
        <v>290</v>
      </c>
      <c r="B206" s="478"/>
      <c r="C206" s="478"/>
      <c r="D206" s="33" t="s">
        <v>493</v>
      </c>
      <c r="E206" s="45">
        <v>2.4</v>
      </c>
      <c r="F206" s="45">
        <v>5.6</v>
      </c>
      <c r="G206" s="45">
        <v>10.8</v>
      </c>
      <c r="H206" s="43">
        <f>G206*4+F206*9+E206*4</f>
        <v>103.19999999999999</v>
      </c>
      <c r="I206" s="240" t="s">
        <v>291</v>
      </c>
      <c r="K206" s="322" t="s">
        <v>26</v>
      </c>
      <c r="L206" s="9">
        <f>+D293</f>
        <v>40</v>
      </c>
    </row>
    <row r="207" spans="1:12" s="9" customFormat="1" ht="30" customHeight="1">
      <c r="A207" s="53" t="s">
        <v>133</v>
      </c>
      <c r="B207" s="36">
        <v>20</v>
      </c>
      <c r="C207" s="36">
        <v>20</v>
      </c>
      <c r="D207" s="36"/>
      <c r="E207" s="95"/>
      <c r="F207" s="95"/>
      <c r="G207" s="95"/>
      <c r="H207" s="95"/>
      <c r="I207" s="95"/>
      <c r="K207" s="322" t="s">
        <v>131</v>
      </c>
      <c r="L207" s="17">
        <f>D291+C207+C227</f>
        <v>75</v>
      </c>
    </row>
    <row r="208" spans="1:12" s="9" customFormat="1" ht="30" customHeight="1">
      <c r="A208" s="53" t="s">
        <v>122</v>
      </c>
      <c r="B208" s="36">
        <v>16</v>
      </c>
      <c r="C208" s="36">
        <v>15</v>
      </c>
      <c r="D208" s="36"/>
      <c r="E208" s="95"/>
      <c r="F208" s="44"/>
      <c r="G208" s="44"/>
      <c r="H208" s="43"/>
      <c r="I208" s="274"/>
      <c r="K208" s="322" t="s">
        <v>161</v>
      </c>
      <c r="L208" s="17"/>
    </row>
    <row r="209" spans="1:12" s="9" customFormat="1" ht="30" customHeight="1">
      <c r="A209" s="482" t="s">
        <v>413</v>
      </c>
      <c r="B209" s="482"/>
      <c r="C209" s="482"/>
      <c r="D209" s="23">
        <v>150</v>
      </c>
      <c r="E209" s="110">
        <v>18.7</v>
      </c>
      <c r="F209" s="110">
        <v>17.4</v>
      </c>
      <c r="G209" s="110">
        <v>18.7</v>
      </c>
      <c r="H209" s="256">
        <f>E209*4+F209*9+G209*4</f>
        <v>306.2</v>
      </c>
      <c r="I209" s="261" t="s">
        <v>408</v>
      </c>
      <c r="K209" s="322" t="s">
        <v>67</v>
      </c>
      <c r="L209" s="17">
        <f>C223</f>
        <v>8.5</v>
      </c>
    </row>
    <row r="210" spans="1:12" s="9" customFormat="1" ht="30" customHeight="1">
      <c r="A210" s="56" t="s">
        <v>25</v>
      </c>
      <c r="B210" s="37">
        <v>121</v>
      </c>
      <c r="C210" s="37">
        <v>120</v>
      </c>
      <c r="D210" s="36"/>
      <c r="E210" s="41"/>
      <c r="F210" s="41"/>
      <c r="G210" s="41"/>
      <c r="H210" s="41"/>
      <c r="I210" s="413"/>
      <c r="K210" s="322" t="s">
        <v>66</v>
      </c>
      <c r="L210" s="174"/>
    </row>
    <row r="211" spans="1:12" s="9" customFormat="1" ht="30" customHeight="1">
      <c r="A211" s="56" t="s">
        <v>409</v>
      </c>
      <c r="B211" s="37">
        <v>16</v>
      </c>
      <c r="C211" s="37">
        <v>16</v>
      </c>
      <c r="D211" s="36"/>
      <c r="E211" s="110"/>
      <c r="F211" s="110"/>
      <c r="G211" s="110"/>
      <c r="H211" s="256"/>
      <c r="I211" s="261"/>
      <c r="K211" s="322" t="s">
        <v>27</v>
      </c>
      <c r="L211" s="17">
        <f>C262+C248</f>
        <v>180</v>
      </c>
    </row>
    <row r="212" spans="1:12" s="9" customFormat="1" ht="30" customHeight="1">
      <c r="A212" s="56" t="s">
        <v>410</v>
      </c>
      <c r="B212" s="37">
        <v>6</v>
      </c>
      <c r="C212" s="37">
        <v>6</v>
      </c>
      <c r="D212" s="36"/>
      <c r="E212" s="41"/>
      <c r="F212" s="41"/>
      <c r="G212" s="41"/>
      <c r="H212" s="41"/>
      <c r="I212" s="414"/>
      <c r="K212" s="322" t="s">
        <v>210</v>
      </c>
      <c r="L212" s="17">
        <f>C266+C268+C269+C252+C242</f>
        <v>178</v>
      </c>
    </row>
    <row r="213" spans="1:12" s="9" customFormat="1" ht="30" customHeight="1">
      <c r="A213" s="56" t="s">
        <v>4</v>
      </c>
      <c r="B213" s="37">
        <v>6</v>
      </c>
      <c r="C213" s="37">
        <v>6</v>
      </c>
      <c r="D213" s="36"/>
      <c r="E213" s="41"/>
      <c r="F213" s="41"/>
      <c r="G213" s="41"/>
      <c r="H213" s="37"/>
      <c r="I213" s="414"/>
      <c r="K213" s="322" t="s">
        <v>28</v>
      </c>
      <c r="L213" s="9">
        <f>C235+D236+C287</f>
        <v>181</v>
      </c>
    </row>
    <row r="214" spans="1:11" s="9" customFormat="1" ht="30" customHeight="1">
      <c r="A214" s="56" t="s">
        <v>144</v>
      </c>
      <c r="B214" s="291">
        <v>0.01</v>
      </c>
      <c r="C214" s="291">
        <v>0.01</v>
      </c>
      <c r="D214" s="36"/>
      <c r="E214" s="41"/>
      <c r="F214" s="41"/>
      <c r="G214" s="41"/>
      <c r="H214" s="37"/>
      <c r="I214" s="414"/>
      <c r="K214" s="322" t="s">
        <v>177</v>
      </c>
    </row>
    <row r="215" spans="1:12" s="9" customFormat="1" ht="30" customHeight="1">
      <c r="A215" s="56" t="s">
        <v>411</v>
      </c>
      <c r="B215" s="37">
        <v>9</v>
      </c>
      <c r="C215" s="37">
        <v>9</v>
      </c>
      <c r="D215" s="36"/>
      <c r="E215" s="41"/>
      <c r="F215" s="41"/>
      <c r="G215" s="41"/>
      <c r="H215" s="37"/>
      <c r="I215" s="414"/>
      <c r="K215" s="322" t="s">
        <v>211</v>
      </c>
      <c r="L215" s="17">
        <f>C225+C234+C289</f>
        <v>37</v>
      </c>
    </row>
    <row r="216" spans="1:11" s="9" customFormat="1" ht="30" customHeight="1">
      <c r="A216" s="56" t="s">
        <v>57</v>
      </c>
      <c r="B216" s="37">
        <v>6</v>
      </c>
      <c r="C216" s="37">
        <v>6</v>
      </c>
      <c r="D216" s="36"/>
      <c r="E216" s="41"/>
      <c r="F216" s="41"/>
      <c r="G216" s="41"/>
      <c r="H216" s="37"/>
      <c r="I216" s="414"/>
      <c r="K216" s="322" t="s">
        <v>375</v>
      </c>
    </row>
    <row r="217" spans="1:11" s="9" customFormat="1" ht="30" customHeight="1">
      <c r="A217" s="56" t="s">
        <v>102</v>
      </c>
      <c r="B217" s="37">
        <v>4</v>
      </c>
      <c r="C217" s="37">
        <v>4</v>
      </c>
      <c r="D217" s="36"/>
      <c r="E217" s="41"/>
      <c r="F217" s="41"/>
      <c r="G217" s="41"/>
      <c r="H217" s="36"/>
      <c r="I217" s="412"/>
      <c r="K217" s="337" t="s">
        <v>29</v>
      </c>
    </row>
    <row r="218" spans="1:12" s="9" customFormat="1" ht="30" customHeight="1">
      <c r="A218" s="56" t="s">
        <v>412</v>
      </c>
      <c r="B218" s="41"/>
      <c r="C218" s="37">
        <v>130</v>
      </c>
      <c r="D218" s="36"/>
      <c r="E218" s="41"/>
      <c r="F218" s="41"/>
      <c r="G218" s="41"/>
      <c r="H218" s="41"/>
      <c r="I218" s="414"/>
      <c r="K218" s="322" t="s">
        <v>71</v>
      </c>
      <c r="L218" s="61"/>
    </row>
    <row r="219" spans="1:11" s="9" customFormat="1" ht="30" customHeight="1">
      <c r="A219" s="56" t="s">
        <v>83</v>
      </c>
      <c r="B219" s="36">
        <v>20.2</v>
      </c>
      <c r="C219" s="36">
        <v>20</v>
      </c>
      <c r="D219" s="36"/>
      <c r="E219" s="41"/>
      <c r="F219" s="41"/>
      <c r="G219" s="41"/>
      <c r="H219" s="41"/>
      <c r="I219" s="413"/>
      <c r="K219" s="322" t="s">
        <v>189</v>
      </c>
    </row>
    <row r="220" spans="1:11" s="9" customFormat="1" ht="30" customHeight="1">
      <c r="A220" s="483" t="s">
        <v>70</v>
      </c>
      <c r="B220" s="483"/>
      <c r="C220" s="483"/>
      <c r="D220" s="483"/>
      <c r="E220" s="483"/>
      <c r="F220" s="483"/>
      <c r="G220" s="483"/>
      <c r="H220" s="483"/>
      <c r="I220" s="483"/>
      <c r="K220" s="322" t="s">
        <v>190</v>
      </c>
    </row>
    <row r="221" spans="1:12" ht="30" customHeight="1">
      <c r="A221" s="493" t="s">
        <v>321</v>
      </c>
      <c r="B221" s="493"/>
      <c r="C221" s="493"/>
      <c r="D221" s="148">
        <v>150</v>
      </c>
      <c r="E221" s="374">
        <v>18.9</v>
      </c>
      <c r="F221" s="374">
        <v>17.325</v>
      </c>
      <c r="G221" s="374">
        <v>17.4</v>
      </c>
      <c r="H221" s="256">
        <f>G221*4+F221*9+E221*4</f>
        <v>301.125</v>
      </c>
      <c r="I221" s="240" t="s">
        <v>322</v>
      </c>
      <c r="K221" s="338" t="s">
        <v>30</v>
      </c>
      <c r="L221" s="61">
        <f>C233</f>
        <v>1</v>
      </c>
    </row>
    <row r="222" spans="1:12" ht="30" customHeight="1">
      <c r="A222" s="53" t="s">
        <v>25</v>
      </c>
      <c r="B222" s="47">
        <v>114</v>
      </c>
      <c r="C222" s="47">
        <v>113</v>
      </c>
      <c r="D222" s="50"/>
      <c r="E222" s="50"/>
      <c r="F222" s="50"/>
      <c r="G222" s="50"/>
      <c r="H222" s="50"/>
      <c r="K222" s="322" t="s">
        <v>179</v>
      </c>
      <c r="L222" s="62"/>
    </row>
    <row r="223" spans="1:12" s="9" customFormat="1" ht="30" customHeight="1">
      <c r="A223" s="75" t="s">
        <v>59</v>
      </c>
      <c r="B223" s="180">
        <v>8.5</v>
      </c>
      <c r="C223" s="180">
        <v>8.5</v>
      </c>
      <c r="D223" s="88"/>
      <c r="E223" s="105"/>
      <c r="F223" s="105"/>
      <c r="G223" s="105"/>
      <c r="H223" s="43"/>
      <c r="I223" s="274"/>
      <c r="K223" s="322" t="s">
        <v>181</v>
      </c>
      <c r="L223" s="62">
        <f>C259</f>
        <v>62</v>
      </c>
    </row>
    <row r="224" spans="1:12" s="9" customFormat="1" ht="30" customHeight="1">
      <c r="A224" s="75" t="s">
        <v>62</v>
      </c>
      <c r="B224" s="49">
        <v>10</v>
      </c>
      <c r="C224" s="49">
        <v>10</v>
      </c>
      <c r="D224" s="88"/>
      <c r="E224" s="88"/>
      <c r="F224" s="88"/>
      <c r="G224" s="88"/>
      <c r="H224" s="88"/>
      <c r="I224" s="274"/>
      <c r="K224" s="322" t="s">
        <v>180</v>
      </c>
      <c r="L224" s="61"/>
    </row>
    <row r="225" spans="1:12" s="9" customFormat="1" ht="30" customHeight="1">
      <c r="A225" s="53" t="s">
        <v>4</v>
      </c>
      <c r="B225" s="49">
        <v>7</v>
      </c>
      <c r="C225" s="49">
        <v>7</v>
      </c>
      <c r="D225" s="88"/>
      <c r="E225" s="88"/>
      <c r="F225" s="180"/>
      <c r="G225" s="180"/>
      <c r="H225" s="49"/>
      <c r="I225" s="274"/>
      <c r="K225" s="322" t="s">
        <v>182</v>
      </c>
      <c r="L225" s="62">
        <f>C244</f>
        <v>58</v>
      </c>
    </row>
    <row r="226" spans="1:12" s="9" customFormat="1" ht="30" customHeight="1">
      <c r="A226" s="57" t="s">
        <v>86</v>
      </c>
      <c r="B226" s="47">
        <v>4</v>
      </c>
      <c r="C226" s="47">
        <v>4</v>
      </c>
      <c r="D226" s="88"/>
      <c r="E226" s="88"/>
      <c r="F226" s="181"/>
      <c r="G226" s="181"/>
      <c r="H226" s="47"/>
      <c r="I226" s="274"/>
      <c r="K226" s="327" t="s">
        <v>82</v>
      </c>
      <c r="L226" s="174">
        <f>C231</f>
        <v>30</v>
      </c>
    </row>
    <row r="227" spans="1:12" s="9" customFormat="1" ht="30" customHeight="1">
      <c r="A227" s="75" t="s">
        <v>22</v>
      </c>
      <c r="B227" s="49">
        <v>5</v>
      </c>
      <c r="C227" s="49">
        <v>5</v>
      </c>
      <c r="D227" s="88"/>
      <c r="E227" s="88"/>
      <c r="F227" s="180"/>
      <c r="G227" s="180"/>
      <c r="H227" s="49"/>
      <c r="I227" s="274"/>
      <c r="K227" s="329" t="s">
        <v>183</v>
      </c>
      <c r="L227" s="174"/>
    </row>
    <row r="228" spans="1:12" ht="30" customHeight="1">
      <c r="A228" s="76" t="s">
        <v>57</v>
      </c>
      <c r="B228" s="49">
        <v>4</v>
      </c>
      <c r="C228" s="49">
        <v>4</v>
      </c>
      <c r="D228" s="88"/>
      <c r="E228" s="88"/>
      <c r="F228" s="180"/>
      <c r="G228" s="180"/>
      <c r="H228" s="49"/>
      <c r="I228" s="274"/>
      <c r="K228" s="322" t="s">
        <v>184</v>
      </c>
      <c r="L228" s="174">
        <f>C222</f>
        <v>113</v>
      </c>
    </row>
    <row r="229" spans="1:12" ht="30" customHeight="1">
      <c r="A229" s="76" t="s">
        <v>102</v>
      </c>
      <c r="B229" s="47">
        <v>3</v>
      </c>
      <c r="C229" s="47">
        <v>3</v>
      </c>
      <c r="D229" s="50"/>
      <c r="E229" s="50"/>
      <c r="F229" s="181"/>
      <c r="G229" s="181"/>
      <c r="H229" s="47"/>
      <c r="K229" s="322" t="s">
        <v>31</v>
      </c>
      <c r="L229" s="62">
        <f>C228</f>
        <v>4</v>
      </c>
    </row>
    <row r="230" spans="1:12" ht="30" customHeight="1">
      <c r="A230" s="76" t="s">
        <v>91</v>
      </c>
      <c r="B230" s="49"/>
      <c r="C230" s="49">
        <v>120</v>
      </c>
      <c r="D230" s="88"/>
      <c r="E230" s="88"/>
      <c r="F230" s="180"/>
      <c r="G230" s="180"/>
      <c r="H230" s="49"/>
      <c r="I230" s="274"/>
      <c r="K230" s="322" t="s">
        <v>185</v>
      </c>
      <c r="L230" s="61">
        <f>C208</f>
        <v>15</v>
      </c>
    </row>
    <row r="231" spans="1:12" s="9" customFormat="1" ht="30" customHeight="1">
      <c r="A231" s="54" t="s">
        <v>83</v>
      </c>
      <c r="B231" s="36">
        <v>30</v>
      </c>
      <c r="C231" s="49">
        <v>30</v>
      </c>
      <c r="D231" s="50"/>
      <c r="E231" s="181"/>
      <c r="F231" s="180"/>
      <c r="G231" s="180"/>
      <c r="H231" s="49"/>
      <c r="I231" s="274"/>
      <c r="K231" s="322" t="s">
        <v>32</v>
      </c>
      <c r="L231" s="62">
        <f>C253+C229</f>
        <v>8</v>
      </c>
    </row>
    <row r="232" spans="1:12" s="9" customFormat="1" ht="30" customHeight="1">
      <c r="A232" s="484" t="s">
        <v>250</v>
      </c>
      <c r="B232" s="484"/>
      <c r="C232" s="484"/>
      <c r="D232" s="21" t="s">
        <v>142</v>
      </c>
      <c r="E232" s="44">
        <v>0.3</v>
      </c>
      <c r="F232" s="44">
        <v>0</v>
      </c>
      <c r="G232" s="44">
        <v>15.2</v>
      </c>
      <c r="H232" s="43">
        <f>G232*4+F232*9+E232*4</f>
        <v>62</v>
      </c>
      <c r="I232" s="261" t="s">
        <v>251</v>
      </c>
      <c r="K232" s="322" t="s">
        <v>33</v>
      </c>
      <c r="L232" s="17">
        <f>C272+C260</f>
        <v>13</v>
      </c>
    </row>
    <row r="233" spans="1:12" s="9" customFormat="1" ht="30" customHeight="1">
      <c r="A233" s="51" t="s">
        <v>114</v>
      </c>
      <c r="B233" s="5">
        <v>1</v>
      </c>
      <c r="C233" s="5">
        <v>1</v>
      </c>
      <c r="D233" s="150"/>
      <c r="E233" s="106"/>
      <c r="F233" s="106"/>
      <c r="G233" s="106"/>
      <c r="H233" s="84"/>
      <c r="I233" s="274"/>
      <c r="K233" s="322" t="s">
        <v>186</v>
      </c>
      <c r="L233" s="62">
        <f>C226</f>
        <v>4</v>
      </c>
    </row>
    <row r="234" spans="1:12" s="9" customFormat="1" ht="30" customHeight="1">
      <c r="A234" s="53" t="s">
        <v>4</v>
      </c>
      <c r="B234" s="29">
        <v>15</v>
      </c>
      <c r="C234" s="29">
        <v>15</v>
      </c>
      <c r="D234" s="30"/>
      <c r="E234" s="106"/>
      <c r="F234" s="106"/>
      <c r="G234" s="106"/>
      <c r="H234" s="106"/>
      <c r="I234" s="274"/>
      <c r="K234" s="322" t="s">
        <v>352</v>
      </c>
      <c r="L234" s="9">
        <f>C290</f>
        <v>6</v>
      </c>
    </row>
    <row r="235" spans="1:12" s="9" customFormat="1" ht="30" customHeight="1">
      <c r="A235" s="53" t="s">
        <v>141</v>
      </c>
      <c r="B235" s="29">
        <v>8</v>
      </c>
      <c r="C235" s="29">
        <v>7</v>
      </c>
      <c r="D235" s="30"/>
      <c r="E235" s="106"/>
      <c r="F235" s="106"/>
      <c r="G235" s="106"/>
      <c r="H235" s="106"/>
      <c r="I235" s="274"/>
      <c r="K235" s="322" t="s">
        <v>188</v>
      </c>
      <c r="L235" s="15">
        <v>1.5</v>
      </c>
    </row>
    <row r="236" spans="1:12" s="9" customFormat="1" ht="30" customHeight="1">
      <c r="A236" s="482" t="s">
        <v>96</v>
      </c>
      <c r="B236" s="478"/>
      <c r="C236" s="478"/>
      <c r="D236" s="26">
        <v>150</v>
      </c>
      <c r="E236" s="45">
        <v>0.2</v>
      </c>
      <c r="F236" s="45">
        <v>0</v>
      </c>
      <c r="G236" s="45">
        <v>8.6</v>
      </c>
      <c r="H236" s="43">
        <f>E236*4+F236*9+G236*4</f>
        <v>35.199999999999996</v>
      </c>
      <c r="I236" s="276" t="s">
        <v>215</v>
      </c>
      <c r="K236" s="322" t="s">
        <v>187</v>
      </c>
      <c r="L236" s="15">
        <v>1</v>
      </c>
    </row>
    <row r="237" spans="1:9" ht="30" customHeight="1">
      <c r="A237" s="479" t="s">
        <v>58</v>
      </c>
      <c r="B237" s="479"/>
      <c r="C237" s="479"/>
      <c r="D237" s="263">
        <f>D242+300+D255+D286</f>
        <v>800</v>
      </c>
      <c r="E237" s="99">
        <f>E242+E243+E255+E286+E291+E293</f>
        <v>29.63333333333333</v>
      </c>
      <c r="F237" s="99">
        <f>F242+F243+F255+F286+F291+F293</f>
        <v>24.799999999999997</v>
      </c>
      <c r="G237" s="99">
        <f>G242+G243+G255+G286+G291+G293</f>
        <v>94.64999999999999</v>
      </c>
      <c r="H237" s="96">
        <f>H242+H243+H255+H286+H291+H293</f>
        <v>717.9333333333333</v>
      </c>
      <c r="I237" s="274"/>
    </row>
    <row r="238" spans="1:9" ht="30" customHeight="1">
      <c r="A238" s="482" t="s">
        <v>264</v>
      </c>
      <c r="B238" s="482"/>
      <c r="C238" s="482"/>
      <c r="D238" s="23">
        <v>100</v>
      </c>
      <c r="E238" s="110">
        <v>0.7000000000000001</v>
      </c>
      <c r="F238" s="110">
        <v>0.1</v>
      </c>
      <c r="G238" s="110">
        <v>1.9</v>
      </c>
      <c r="H238" s="110">
        <v>11.299999999999999</v>
      </c>
      <c r="I238" s="261" t="s">
        <v>222</v>
      </c>
    </row>
    <row r="239" spans="1:9" ht="30" customHeight="1">
      <c r="A239" s="402" t="s">
        <v>173</v>
      </c>
      <c r="B239" s="87">
        <f>C239*1.05</f>
        <v>105</v>
      </c>
      <c r="C239" s="296">
        <v>100</v>
      </c>
      <c r="D239" s="36"/>
      <c r="E239" s="36"/>
      <c r="F239" s="36"/>
      <c r="G239" s="36"/>
      <c r="H239" s="41"/>
      <c r="I239" s="290"/>
    </row>
    <row r="240" spans="1:9" ht="30" customHeight="1">
      <c r="A240" s="402" t="s">
        <v>116</v>
      </c>
      <c r="B240" s="87">
        <f>C240*1.02</f>
        <v>102</v>
      </c>
      <c r="C240" s="296">
        <v>100</v>
      </c>
      <c r="D240" s="375"/>
      <c r="E240" s="375"/>
      <c r="F240" s="375"/>
      <c r="G240" s="375"/>
      <c r="H240" s="350"/>
      <c r="I240" s="290"/>
    </row>
    <row r="241" spans="1:9" ht="30" customHeight="1">
      <c r="A241" s="488" t="s">
        <v>70</v>
      </c>
      <c r="B241" s="488"/>
      <c r="C241" s="488"/>
      <c r="D241" s="488"/>
      <c r="E241" s="488"/>
      <c r="F241" s="488"/>
      <c r="G241" s="488"/>
      <c r="H241" s="488"/>
      <c r="I241" s="488"/>
    </row>
    <row r="242" spans="1:9" ht="30" customHeight="1">
      <c r="A242" s="357" t="s">
        <v>477</v>
      </c>
      <c r="B242" s="87">
        <f>C242*1.82</f>
        <v>182</v>
      </c>
      <c r="C242" s="296">
        <v>100</v>
      </c>
      <c r="D242" s="23">
        <v>100</v>
      </c>
      <c r="E242" s="110">
        <v>0.8333333333333334</v>
      </c>
      <c r="F242" s="110">
        <v>0.1</v>
      </c>
      <c r="G242" s="110">
        <v>1.6</v>
      </c>
      <c r="H242" s="110">
        <v>10.633333333333335</v>
      </c>
      <c r="I242" s="241" t="s">
        <v>478</v>
      </c>
    </row>
    <row r="243" spans="1:9" ht="30" customHeight="1">
      <c r="A243" s="482" t="s">
        <v>392</v>
      </c>
      <c r="B243" s="499"/>
      <c r="C243" s="499"/>
      <c r="D243" s="23" t="s">
        <v>470</v>
      </c>
      <c r="E243" s="110">
        <v>6.7</v>
      </c>
      <c r="F243" s="110">
        <v>4.6</v>
      </c>
      <c r="G243" s="110">
        <v>16</v>
      </c>
      <c r="H243" s="256">
        <f>E243*4+F243*9+G243*4</f>
        <v>132.2</v>
      </c>
      <c r="I243" s="241" t="s">
        <v>356</v>
      </c>
    </row>
    <row r="244" spans="1:11" s="9" customFormat="1" ht="30" customHeight="1">
      <c r="A244" s="55" t="s">
        <v>85</v>
      </c>
      <c r="B244" s="27">
        <f>C244*1.35</f>
        <v>78.30000000000001</v>
      </c>
      <c r="C244" s="37">
        <v>58</v>
      </c>
      <c r="D244" s="20"/>
      <c r="E244" s="44"/>
      <c r="F244" s="44"/>
      <c r="G244" s="44"/>
      <c r="H244" s="294"/>
      <c r="I244" s="275"/>
      <c r="K244" s="335"/>
    </row>
    <row r="245" spans="1:11" s="9" customFormat="1" ht="30" customHeight="1">
      <c r="A245" s="115" t="s">
        <v>357</v>
      </c>
      <c r="B245" s="415">
        <f>C245*1.5</f>
        <v>90</v>
      </c>
      <c r="C245" s="90">
        <v>60</v>
      </c>
      <c r="D245" s="74"/>
      <c r="E245" s="95"/>
      <c r="F245" s="95"/>
      <c r="G245" s="95"/>
      <c r="H245" s="95"/>
      <c r="I245" s="279"/>
      <c r="K245" s="335"/>
    </row>
    <row r="246" spans="1:11" s="9" customFormat="1" ht="30" customHeight="1">
      <c r="A246" s="115" t="s">
        <v>151</v>
      </c>
      <c r="B246" s="415">
        <f>C246*1.82</f>
        <v>109.2</v>
      </c>
      <c r="C246" s="90">
        <v>60</v>
      </c>
      <c r="D246" s="74"/>
      <c r="E246" s="95"/>
      <c r="F246" s="95"/>
      <c r="G246" s="95"/>
      <c r="H246" s="95"/>
      <c r="I246" s="279"/>
      <c r="K246" s="335"/>
    </row>
    <row r="247" spans="1:11" s="9" customFormat="1" ht="30" customHeight="1">
      <c r="A247" s="56" t="s">
        <v>358</v>
      </c>
      <c r="B247" s="90"/>
      <c r="C247" s="90">
        <v>50</v>
      </c>
      <c r="D247" s="38"/>
      <c r="E247" s="41"/>
      <c r="F247" s="41"/>
      <c r="G247" s="41"/>
      <c r="H247" s="36"/>
      <c r="I247" s="416"/>
      <c r="K247" s="335"/>
    </row>
    <row r="248" spans="1:9" ht="30" customHeight="1">
      <c r="A248" s="57" t="s">
        <v>12</v>
      </c>
      <c r="B248" s="144">
        <f>C248*1.33</f>
        <v>133</v>
      </c>
      <c r="C248" s="142">
        <v>100</v>
      </c>
      <c r="D248" s="5"/>
      <c r="E248" s="95"/>
      <c r="F248" s="95"/>
      <c r="G248" s="95"/>
      <c r="H248" s="95"/>
      <c r="I248" s="279"/>
    </row>
    <row r="249" spans="1:11" s="9" customFormat="1" ht="30" customHeight="1">
      <c r="A249" s="57" t="s">
        <v>13</v>
      </c>
      <c r="B249" s="144">
        <f>C249*1.43</f>
        <v>143</v>
      </c>
      <c r="C249" s="142">
        <v>100</v>
      </c>
      <c r="D249" s="5"/>
      <c r="E249" s="95"/>
      <c r="F249" s="95"/>
      <c r="G249" s="95"/>
      <c r="H249" s="296"/>
      <c r="I249" s="279"/>
      <c r="K249" s="335"/>
    </row>
    <row r="250" spans="1:12" s="9" customFormat="1" ht="30" customHeight="1">
      <c r="A250" s="56" t="s">
        <v>14</v>
      </c>
      <c r="B250" s="144">
        <f>C250*1.54</f>
        <v>154</v>
      </c>
      <c r="C250" s="142">
        <v>100</v>
      </c>
      <c r="D250" s="5"/>
      <c r="E250" s="95"/>
      <c r="F250" s="44"/>
      <c r="G250" s="44"/>
      <c r="H250" s="294"/>
      <c r="I250" s="279"/>
      <c r="K250" s="335"/>
      <c r="L250" s="61"/>
    </row>
    <row r="251" spans="1:11" s="9" customFormat="1" ht="30" customHeight="1">
      <c r="A251" s="56" t="s">
        <v>15</v>
      </c>
      <c r="B251" s="144">
        <f>C251*1.67</f>
        <v>167</v>
      </c>
      <c r="C251" s="142">
        <v>100</v>
      </c>
      <c r="D251" s="5"/>
      <c r="E251" s="95"/>
      <c r="F251" s="95"/>
      <c r="G251" s="95"/>
      <c r="H251" s="296"/>
      <c r="I251" s="279"/>
      <c r="K251" s="335"/>
    </row>
    <row r="252" spans="1:12" s="9" customFormat="1" ht="30" customHeight="1">
      <c r="A252" s="57" t="s">
        <v>18</v>
      </c>
      <c r="B252" s="90">
        <f>C252*1.19</f>
        <v>17.849999999999998</v>
      </c>
      <c r="C252" s="142">
        <v>15</v>
      </c>
      <c r="D252" s="5"/>
      <c r="E252" s="95"/>
      <c r="F252" s="95"/>
      <c r="G252" s="95"/>
      <c r="H252" s="296"/>
      <c r="I252" s="210"/>
      <c r="K252" s="335"/>
      <c r="L252" s="61"/>
    </row>
    <row r="253" spans="1:12" s="9" customFormat="1" ht="30" customHeight="1">
      <c r="A253" s="57" t="s">
        <v>19</v>
      </c>
      <c r="B253" s="144">
        <v>5</v>
      </c>
      <c r="C253" s="144">
        <v>5</v>
      </c>
      <c r="D253" s="5"/>
      <c r="E253" s="95"/>
      <c r="F253" s="95"/>
      <c r="G253" s="95"/>
      <c r="H253" s="296"/>
      <c r="I253" s="279"/>
      <c r="K253" s="335"/>
      <c r="L253" s="61"/>
    </row>
    <row r="254" spans="1:11" ht="30" customHeight="1">
      <c r="A254" s="56" t="s">
        <v>73</v>
      </c>
      <c r="B254" s="143">
        <v>0.2</v>
      </c>
      <c r="C254" s="143">
        <v>0.2</v>
      </c>
      <c r="D254" s="237"/>
      <c r="E254" s="85"/>
      <c r="F254" s="85"/>
      <c r="G254" s="85"/>
      <c r="H254" s="258"/>
      <c r="I254" s="417"/>
      <c r="J254" s="9"/>
      <c r="K254" s="335"/>
    </row>
    <row r="255" spans="1:12" ht="30" customHeight="1">
      <c r="A255" s="477" t="s">
        <v>323</v>
      </c>
      <c r="B255" s="477"/>
      <c r="C255" s="477"/>
      <c r="D255" s="294">
        <v>200</v>
      </c>
      <c r="E255" s="44">
        <v>18</v>
      </c>
      <c r="F255" s="44">
        <v>18.9</v>
      </c>
      <c r="G255" s="44">
        <v>16.5</v>
      </c>
      <c r="H255" s="43">
        <f>E255*4+F255*9+G255*4</f>
        <v>308.1</v>
      </c>
      <c r="I255" s="230" t="s">
        <v>324</v>
      </c>
      <c r="J255" s="9"/>
      <c r="K255" s="335"/>
      <c r="L255" s="9"/>
    </row>
    <row r="256" spans="1:12" ht="30" customHeight="1">
      <c r="A256" s="55" t="s">
        <v>127</v>
      </c>
      <c r="B256" s="48">
        <f>C256*1.12</f>
        <v>80.64000000000001</v>
      </c>
      <c r="C256" s="29">
        <v>72</v>
      </c>
      <c r="D256" s="5"/>
      <c r="E256" s="95"/>
      <c r="F256" s="95"/>
      <c r="G256" s="95"/>
      <c r="H256" s="296"/>
      <c r="I256" s="274"/>
      <c r="J256" s="9"/>
      <c r="K256" s="335"/>
      <c r="L256" s="9"/>
    </row>
    <row r="257" spans="1:12" ht="30" customHeight="1">
      <c r="A257" s="115" t="s">
        <v>157</v>
      </c>
      <c r="B257" s="27">
        <f>C257*1.054</f>
        <v>75.888</v>
      </c>
      <c r="C257" s="35">
        <v>72</v>
      </c>
      <c r="D257" s="5"/>
      <c r="E257" s="95"/>
      <c r="F257" s="95"/>
      <c r="G257" s="116"/>
      <c r="H257" s="270"/>
      <c r="I257" s="274"/>
      <c r="J257" s="9"/>
      <c r="K257" s="335"/>
      <c r="L257" s="9"/>
    </row>
    <row r="258" spans="1:11" s="9" customFormat="1" ht="30" customHeight="1">
      <c r="A258" s="86" t="s">
        <v>516</v>
      </c>
      <c r="B258" s="27"/>
      <c r="C258" s="35">
        <v>50</v>
      </c>
      <c r="D258" s="5"/>
      <c r="E258" s="95"/>
      <c r="F258" s="95"/>
      <c r="G258" s="116"/>
      <c r="H258" s="270"/>
      <c r="I258" s="274"/>
      <c r="K258" s="335"/>
    </row>
    <row r="259" spans="1:11" s="9" customFormat="1" ht="30" customHeight="1">
      <c r="A259" s="101" t="s">
        <v>129</v>
      </c>
      <c r="B259" s="27">
        <f>C259*1.048</f>
        <v>64.976</v>
      </c>
      <c r="C259" s="37">
        <v>62</v>
      </c>
      <c r="D259" s="5"/>
      <c r="E259" s="95"/>
      <c r="F259" s="95"/>
      <c r="G259" s="172"/>
      <c r="H259" s="173"/>
      <c r="I259" s="274"/>
      <c r="K259" s="335"/>
    </row>
    <row r="260" spans="1:11" s="9" customFormat="1" ht="30" customHeight="1">
      <c r="A260" s="54" t="s">
        <v>11</v>
      </c>
      <c r="B260" s="37">
        <v>3</v>
      </c>
      <c r="C260" s="37">
        <v>3</v>
      </c>
      <c r="D260" s="36"/>
      <c r="E260" s="41"/>
      <c r="F260" s="41"/>
      <c r="G260" s="376"/>
      <c r="H260" s="286"/>
      <c r="I260" s="275"/>
      <c r="K260" s="335"/>
    </row>
    <row r="261" spans="1:8" ht="30" customHeight="1">
      <c r="A261" s="54" t="s">
        <v>92</v>
      </c>
      <c r="B261" s="37"/>
      <c r="C261" s="37">
        <v>50</v>
      </c>
      <c r="D261" s="36"/>
      <c r="E261" s="41"/>
      <c r="F261" s="41"/>
      <c r="G261" s="376"/>
      <c r="H261" s="286"/>
    </row>
    <row r="262" spans="1:9" ht="30" customHeight="1">
      <c r="A262" s="51" t="s">
        <v>12</v>
      </c>
      <c r="B262" s="35">
        <f>C262*1.33</f>
        <v>106.4</v>
      </c>
      <c r="C262" s="35">
        <v>80</v>
      </c>
      <c r="D262" s="35"/>
      <c r="E262" s="95"/>
      <c r="F262" s="95"/>
      <c r="G262" s="95"/>
      <c r="H262" s="296"/>
      <c r="I262" s="274"/>
    </row>
    <row r="263" spans="1:12" ht="30" customHeight="1">
      <c r="A263" s="51" t="s">
        <v>13</v>
      </c>
      <c r="B263" s="35">
        <f>C263*1.43</f>
        <v>114.39999999999999</v>
      </c>
      <c r="C263" s="35">
        <v>80</v>
      </c>
      <c r="D263" s="35"/>
      <c r="E263" s="95"/>
      <c r="F263" s="95"/>
      <c r="G263" s="95"/>
      <c r="H263" s="296"/>
      <c r="I263" s="274"/>
      <c r="J263" s="9"/>
      <c r="K263" s="335"/>
      <c r="L263" s="9"/>
    </row>
    <row r="264" spans="1:12" ht="30" customHeight="1">
      <c r="A264" s="53" t="s">
        <v>14</v>
      </c>
      <c r="B264" s="35">
        <f>C264*1.54</f>
        <v>123.2</v>
      </c>
      <c r="C264" s="35">
        <v>80</v>
      </c>
      <c r="D264" s="35"/>
      <c r="E264" s="95"/>
      <c r="F264" s="95"/>
      <c r="G264" s="95"/>
      <c r="H264" s="296"/>
      <c r="I264" s="274"/>
      <c r="J264" s="9"/>
      <c r="K264" s="335"/>
      <c r="L264" s="9"/>
    </row>
    <row r="265" spans="1:12" ht="30" customHeight="1">
      <c r="A265" s="53" t="s">
        <v>15</v>
      </c>
      <c r="B265" s="35">
        <f>C265*1.67</f>
        <v>133.6</v>
      </c>
      <c r="C265" s="35">
        <v>80</v>
      </c>
      <c r="D265" s="35"/>
      <c r="E265" s="95"/>
      <c r="F265" s="95"/>
      <c r="G265" s="95"/>
      <c r="H265" s="296"/>
      <c r="I265" s="274"/>
      <c r="J265" s="15"/>
      <c r="K265" s="339"/>
      <c r="L265" s="9"/>
    </row>
    <row r="266" spans="1:11" s="9" customFormat="1" ht="30" customHeight="1">
      <c r="A266" s="51" t="s">
        <v>61</v>
      </c>
      <c r="B266" s="35">
        <f>C266*1.25</f>
        <v>42.5</v>
      </c>
      <c r="C266" s="35">
        <v>34</v>
      </c>
      <c r="D266" s="35"/>
      <c r="E266" s="95"/>
      <c r="F266" s="95"/>
      <c r="G266" s="95"/>
      <c r="H266" s="296"/>
      <c r="I266" s="274"/>
      <c r="J266" s="15"/>
      <c r="K266" s="339"/>
    </row>
    <row r="267" spans="1:11" s="9" customFormat="1" ht="30" customHeight="1">
      <c r="A267" s="51" t="s">
        <v>16</v>
      </c>
      <c r="B267" s="35">
        <f>C267*1.33</f>
        <v>45.22</v>
      </c>
      <c r="C267" s="35">
        <v>34</v>
      </c>
      <c r="D267" s="35"/>
      <c r="E267" s="95"/>
      <c r="F267" s="95"/>
      <c r="G267" s="95"/>
      <c r="H267" s="296"/>
      <c r="I267" s="274"/>
      <c r="J267" s="15"/>
      <c r="K267" s="339"/>
    </row>
    <row r="268" spans="1:12" ht="30" customHeight="1">
      <c r="A268" s="51" t="s">
        <v>18</v>
      </c>
      <c r="B268" s="37">
        <f>C268*1.19</f>
        <v>22.61</v>
      </c>
      <c r="C268" s="35">
        <v>19</v>
      </c>
      <c r="D268" s="35"/>
      <c r="E268" s="95"/>
      <c r="F268" s="95"/>
      <c r="G268" s="95"/>
      <c r="H268" s="296"/>
      <c r="I268" s="274"/>
      <c r="J268" s="15"/>
      <c r="K268" s="339"/>
      <c r="L268" s="9"/>
    </row>
    <row r="269" spans="1:12" ht="30" customHeight="1">
      <c r="A269" s="57" t="s">
        <v>54</v>
      </c>
      <c r="B269" s="5">
        <v>10</v>
      </c>
      <c r="C269" s="35">
        <v>10</v>
      </c>
      <c r="D269" s="35"/>
      <c r="E269" s="95"/>
      <c r="F269" s="95"/>
      <c r="G269" s="95"/>
      <c r="H269" s="296"/>
      <c r="I269" s="274"/>
      <c r="J269" s="15"/>
      <c r="K269" s="339"/>
      <c r="L269" s="9"/>
    </row>
    <row r="270" spans="1:11" s="9" customFormat="1" ht="30" customHeight="1">
      <c r="A270" s="56" t="s">
        <v>76</v>
      </c>
      <c r="B270" s="243">
        <f>C270*1.02</f>
        <v>22.44</v>
      </c>
      <c r="C270" s="60">
        <v>22</v>
      </c>
      <c r="D270" s="59"/>
      <c r="E270" s="366"/>
      <c r="F270" s="366"/>
      <c r="G270" s="366"/>
      <c r="H270" s="366"/>
      <c r="I270" s="275"/>
      <c r="J270" s="15"/>
      <c r="K270" s="339"/>
    </row>
    <row r="271" spans="1:11" ht="30" customHeight="1">
      <c r="A271" s="53" t="s">
        <v>101</v>
      </c>
      <c r="B271" s="125">
        <f>C271*1.18</f>
        <v>25.959999999999997</v>
      </c>
      <c r="C271" s="126">
        <v>22</v>
      </c>
      <c r="D271" s="127"/>
      <c r="E271" s="83"/>
      <c r="F271" s="83"/>
      <c r="G271" s="83"/>
      <c r="H271" s="77"/>
      <c r="I271" s="274"/>
      <c r="J271" s="70"/>
      <c r="K271" s="363"/>
    </row>
    <row r="272" spans="1:11" ht="30" customHeight="1">
      <c r="A272" s="51" t="s">
        <v>11</v>
      </c>
      <c r="B272" s="5">
        <v>10</v>
      </c>
      <c r="C272" s="35">
        <v>10</v>
      </c>
      <c r="D272" s="35"/>
      <c r="E272" s="95"/>
      <c r="F272" s="95"/>
      <c r="G272" s="95"/>
      <c r="H272" s="296"/>
      <c r="I272" s="274"/>
      <c r="J272" s="15"/>
      <c r="K272" s="339"/>
    </row>
    <row r="273" spans="1:12" s="9" customFormat="1" ht="30" customHeight="1">
      <c r="A273" s="481" t="s">
        <v>70</v>
      </c>
      <c r="B273" s="481"/>
      <c r="C273" s="481"/>
      <c r="D273" s="481"/>
      <c r="E273" s="481"/>
      <c r="F273" s="481"/>
      <c r="G273" s="481"/>
      <c r="H273" s="481"/>
      <c r="I273" s="481"/>
      <c r="K273" s="335"/>
      <c r="L273" s="61"/>
    </row>
    <row r="274" spans="1:12" ht="30" customHeight="1">
      <c r="A274" s="477" t="s">
        <v>325</v>
      </c>
      <c r="B274" s="477"/>
      <c r="C274" s="477"/>
      <c r="D274" s="294">
        <v>200</v>
      </c>
      <c r="E274" s="44">
        <v>16.2</v>
      </c>
      <c r="F274" s="44">
        <v>17.2</v>
      </c>
      <c r="G274" s="44">
        <v>16.5</v>
      </c>
      <c r="H274" s="43">
        <f>E274*4+F274*9+G274*4</f>
        <v>285.59999999999997</v>
      </c>
      <c r="I274" s="230" t="s">
        <v>326</v>
      </c>
      <c r="L274" s="311"/>
    </row>
    <row r="275" spans="1:11" ht="30" customHeight="1">
      <c r="A275" s="86" t="s">
        <v>88</v>
      </c>
      <c r="B275" s="48">
        <f>C275*1.36</f>
        <v>107.44000000000001</v>
      </c>
      <c r="C275" s="29">
        <v>79</v>
      </c>
      <c r="D275" s="5"/>
      <c r="E275" s="95"/>
      <c r="F275" s="95"/>
      <c r="G275" s="95"/>
      <c r="H275" s="296"/>
      <c r="I275" s="274"/>
      <c r="J275" s="209"/>
      <c r="K275" s="342"/>
    </row>
    <row r="276" spans="1:11" ht="30" customHeight="1">
      <c r="A276" s="86" t="s">
        <v>89</v>
      </c>
      <c r="B276" s="48">
        <f>C276*1.18</f>
        <v>93.22</v>
      </c>
      <c r="C276" s="35">
        <v>79</v>
      </c>
      <c r="D276" s="5"/>
      <c r="E276" s="44"/>
      <c r="F276" s="44"/>
      <c r="G276" s="44"/>
      <c r="H276" s="44"/>
      <c r="I276" s="274"/>
      <c r="J276" s="9"/>
      <c r="K276" s="335"/>
    </row>
    <row r="277" spans="1:11" ht="30" customHeight="1">
      <c r="A277" s="54" t="s">
        <v>11</v>
      </c>
      <c r="B277" s="37">
        <v>3</v>
      </c>
      <c r="C277" s="37">
        <v>3</v>
      </c>
      <c r="D277" s="36"/>
      <c r="E277" s="41"/>
      <c r="F277" s="41"/>
      <c r="G277" s="376"/>
      <c r="H277" s="286"/>
      <c r="J277" s="9"/>
      <c r="K277" s="335"/>
    </row>
    <row r="278" spans="1:9" ht="30" customHeight="1">
      <c r="A278" s="52" t="s">
        <v>99</v>
      </c>
      <c r="B278" s="37"/>
      <c r="C278" s="35">
        <v>50</v>
      </c>
      <c r="D278" s="5"/>
      <c r="E278" s="95"/>
      <c r="F278" s="95"/>
      <c r="G278" s="95"/>
      <c r="H278" s="296"/>
      <c r="I278" s="274"/>
    </row>
    <row r="279" spans="1:12" ht="30" customHeight="1">
      <c r="A279" s="51" t="s">
        <v>12</v>
      </c>
      <c r="B279" s="35">
        <f>C279*1.33</f>
        <v>159.60000000000002</v>
      </c>
      <c r="C279" s="35">
        <v>120</v>
      </c>
      <c r="D279" s="35"/>
      <c r="E279" s="95"/>
      <c r="F279" s="95"/>
      <c r="G279" s="95"/>
      <c r="H279" s="296"/>
      <c r="I279" s="274"/>
      <c r="J279" s="9"/>
      <c r="K279" s="335"/>
      <c r="L279" s="9"/>
    </row>
    <row r="280" spans="1:11" s="9" customFormat="1" ht="30" customHeight="1">
      <c r="A280" s="51" t="s">
        <v>13</v>
      </c>
      <c r="B280" s="35">
        <f>C280*1.43</f>
        <v>171.6</v>
      </c>
      <c r="C280" s="35">
        <v>120</v>
      </c>
      <c r="D280" s="35"/>
      <c r="E280" s="95"/>
      <c r="F280" s="95"/>
      <c r="G280" s="95"/>
      <c r="H280" s="296"/>
      <c r="I280" s="274"/>
      <c r="K280" s="335"/>
    </row>
    <row r="281" spans="1:11" s="9" customFormat="1" ht="30" customHeight="1">
      <c r="A281" s="53" t="s">
        <v>14</v>
      </c>
      <c r="B281" s="35">
        <f>C281*1.54</f>
        <v>184.8</v>
      </c>
      <c r="C281" s="35">
        <v>120</v>
      </c>
      <c r="D281" s="35"/>
      <c r="E281" s="95"/>
      <c r="F281" s="95"/>
      <c r="G281" s="95"/>
      <c r="H281" s="296"/>
      <c r="I281" s="274"/>
      <c r="K281" s="335"/>
    </row>
    <row r="282" spans="1:12" s="8" customFormat="1" ht="30" customHeight="1">
      <c r="A282" s="53" t="s">
        <v>15</v>
      </c>
      <c r="B282" s="35">
        <f>C282*1.67</f>
        <v>200.39999999999998</v>
      </c>
      <c r="C282" s="35">
        <v>120</v>
      </c>
      <c r="D282" s="35"/>
      <c r="E282" s="95"/>
      <c r="F282" s="95"/>
      <c r="G282" s="95"/>
      <c r="H282" s="296"/>
      <c r="I282" s="274"/>
      <c r="J282" s="9"/>
      <c r="K282" s="335"/>
      <c r="L282" s="9"/>
    </row>
    <row r="283" spans="1:12" ht="30" customHeight="1">
      <c r="A283" s="51" t="s">
        <v>18</v>
      </c>
      <c r="B283" s="37">
        <f>C283*1.19</f>
        <v>17.849999999999998</v>
      </c>
      <c r="C283" s="35">
        <v>15</v>
      </c>
      <c r="D283" s="35"/>
      <c r="E283" s="95"/>
      <c r="F283" s="95"/>
      <c r="G283" s="95"/>
      <c r="H283" s="296"/>
      <c r="I283" s="274"/>
      <c r="J283" s="9"/>
      <c r="K283" s="335"/>
      <c r="L283" s="9"/>
    </row>
    <row r="284" spans="1:12" ht="30" customHeight="1">
      <c r="A284" s="57" t="s">
        <v>54</v>
      </c>
      <c r="B284" s="5">
        <v>8</v>
      </c>
      <c r="C284" s="35">
        <v>8</v>
      </c>
      <c r="D284" s="35"/>
      <c r="E284" s="95"/>
      <c r="F284" s="95"/>
      <c r="G284" s="95"/>
      <c r="H284" s="296"/>
      <c r="I284" s="274"/>
      <c r="J284" s="9"/>
      <c r="K284" s="335"/>
      <c r="L284" s="9"/>
    </row>
    <row r="285" spans="1:11" ht="30" customHeight="1">
      <c r="A285" s="51" t="s">
        <v>11</v>
      </c>
      <c r="B285" s="5">
        <v>10</v>
      </c>
      <c r="C285" s="35">
        <v>10</v>
      </c>
      <c r="D285" s="35"/>
      <c r="E285" s="95"/>
      <c r="F285" s="95"/>
      <c r="G285" s="95"/>
      <c r="H285" s="296"/>
      <c r="I285" s="274"/>
      <c r="J285" s="9"/>
      <c r="K285" s="335"/>
    </row>
    <row r="286" spans="1:11" s="9" customFormat="1" ht="30" customHeight="1">
      <c r="A286" s="485" t="s">
        <v>349</v>
      </c>
      <c r="B286" s="478"/>
      <c r="C286" s="478"/>
      <c r="D286" s="148">
        <v>200</v>
      </c>
      <c r="E286" s="105">
        <v>0.2</v>
      </c>
      <c r="F286" s="105">
        <v>0.1</v>
      </c>
      <c r="G286" s="105">
        <v>21.5</v>
      </c>
      <c r="H286" s="43">
        <f>G286*4+F286*9+E286*4</f>
        <v>87.7</v>
      </c>
      <c r="I286" s="276" t="s">
        <v>350</v>
      </c>
      <c r="K286" s="335"/>
    </row>
    <row r="287" spans="1:12" s="9" customFormat="1" ht="30" customHeight="1">
      <c r="A287" s="56" t="s">
        <v>371</v>
      </c>
      <c r="B287" s="181">
        <f>C287*1.06</f>
        <v>25.44</v>
      </c>
      <c r="C287" s="50">
        <v>24</v>
      </c>
      <c r="D287" s="239"/>
      <c r="E287" s="147"/>
      <c r="F287" s="147"/>
      <c r="G287" s="147"/>
      <c r="H287" s="265"/>
      <c r="I287" s="275"/>
      <c r="K287" s="335"/>
      <c r="L287" s="166"/>
    </row>
    <row r="288" spans="1:12" s="9" customFormat="1" ht="30" customHeight="1">
      <c r="A288" s="56" t="s">
        <v>369</v>
      </c>
      <c r="B288" s="181">
        <f>C288*1.06</f>
        <v>25.44</v>
      </c>
      <c r="C288" s="50">
        <v>24</v>
      </c>
      <c r="D288" s="239"/>
      <c r="E288" s="147"/>
      <c r="F288" s="147"/>
      <c r="G288" s="147"/>
      <c r="H288" s="265"/>
      <c r="I288" s="275"/>
      <c r="K288" s="335"/>
      <c r="L288" s="61"/>
    </row>
    <row r="289" spans="1:11" s="9" customFormat="1" ht="30" customHeight="1">
      <c r="A289" s="53" t="s">
        <v>4</v>
      </c>
      <c r="B289" s="36">
        <v>15</v>
      </c>
      <c r="C289" s="36">
        <v>15</v>
      </c>
      <c r="D289" s="36"/>
      <c r="E289" s="242"/>
      <c r="F289" s="242"/>
      <c r="G289" s="242"/>
      <c r="H289" s="267"/>
      <c r="I289" s="274"/>
      <c r="K289" s="335"/>
    </row>
    <row r="290" spans="1:12" s="9" customFormat="1" ht="30" customHeight="1">
      <c r="A290" s="53" t="s">
        <v>351</v>
      </c>
      <c r="B290" s="50">
        <v>6</v>
      </c>
      <c r="C290" s="50">
        <v>6</v>
      </c>
      <c r="D290" s="239"/>
      <c r="E290" s="147"/>
      <c r="F290" s="147"/>
      <c r="G290" s="147"/>
      <c r="H290" s="265"/>
      <c r="I290" s="275"/>
      <c r="K290" s="335"/>
      <c r="L290" s="61"/>
    </row>
    <row r="291" spans="1:12" s="9" customFormat="1" ht="30" customHeight="1">
      <c r="A291" s="149" t="s">
        <v>20</v>
      </c>
      <c r="B291" s="36">
        <v>50</v>
      </c>
      <c r="C291" s="36">
        <v>50</v>
      </c>
      <c r="D291" s="23">
        <v>50</v>
      </c>
      <c r="E291" s="110">
        <v>2.5</v>
      </c>
      <c r="F291" s="110">
        <v>0.7000000000000001</v>
      </c>
      <c r="G291" s="110">
        <v>20.25</v>
      </c>
      <c r="H291" s="110">
        <v>97.3</v>
      </c>
      <c r="I291" s="368"/>
      <c r="K291" s="335"/>
      <c r="L291" s="61"/>
    </row>
    <row r="292" spans="1:9" ht="30" customHeight="1">
      <c r="A292" s="477" t="s">
        <v>75</v>
      </c>
      <c r="B292" s="478"/>
      <c r="C292" s="478"/>
      <c r="D292" s="77">
        <v>50</v>
      </c>
      <c r="E292" s="95"/>
      <c r="F292" s="95"/>
      <c r="G292" s="95"/>
      <c r="H292" s="95"/>
      <c r="I292" s="274"/>
    </row>
    <row r="293" spans="1:12" s="9" customFormat="1" ht="30" customHeight="1">
      <c r="A293" s="212" t="s">
        <v>26</v>
      </c>
      <c r="B293" s="36">
        <v>40</v>
      </c>
      <c r="C293" s="36">
        <v>40</v>
      </c>
      <c r="D293" s="23">
        <v>40</v>
      </c>
      <c r="E293" s="110">
        <v>1.4</v>
      </c>
      <c r="F293" s="110">
        <v>0.4</v>
      </c>
      <c r="G293" s="110">
        <v>18.8</v>
      </c>
      <c r="H293" s="256">
        <v>82</v>
      </c>
      <c r="I293" s="275"/>
      <c r="K293" s="335"/>
      <c r="L293" s="61"/>
    </row>
    <row r="294" spans="1:9" ht="30" customHeight="1">
      <c r="A294" s="475" t="s">
        <v>24</v>
      </c>
      <c r="B294" s="475"/>
      <c r="C294" s="475"/>
      <c r="D294" s="475"/>
      <c r="E294" s="99">
        <f>E237+E205</f>
        <v>51.43333333333332</v>
      </c>
      <c r="F294" s="99">
        <f>F237+F205</f>
        <v>47.724999999999994</v>
      </c>
      <c r="G294" s="99">
        <f>G237+G205</f>
        <v>146.64999999999998</v>
      </c>
      <c r="H294" s="96">
        <f>H237+H205</f>
        <v>1219.4583333333333</v>
      </c>
      <c r="I294" s="274"/>
    </row>
    <row r="295" spans="1:12" s="9" customFormat="1" ht="30" customHeight="1">
      <c r="A295" s="490" t="s">
        <v>43</v>
      </c>
      <c r="B295" s="490"/>
      <c r="C295" s="490"/>
      <c r="D295" s="490"/>
      <c r="E295" s="490"/>
      <c r="F295" s="490"/>
      <c r="G295" s="490"/>
      <c r="H295" s="490"/>
      <c r="I295" s="490"/>
      <c r="K295" s="335"/>
      <c r="L295" s="61"/>
    </row>
    <row r="296" spans="1:12" s="9" customFormat="1" ht="30" customHeight="1">
      <c r="A296" s="487" t="s">
        <v>0</v>
      </c>
      <c r="B296" s="476" t="s">
        <v>6</v>
      </c>
      <c r="C296" s="476" t="s">
        <v>7</v>
      </c>
      <c r="D296" s="487" t="s">
        <v>5</v>
      </c>
      <c r="E296" s="487"/>
      <c r="F296" s="487"/>
      <c r="G296" s="487"/>
      <c r="H296" s="487"/>
      <c r="I296" s="487"/>
      <c r="K296" s="335"/>
      <c r="L296" s="61"/>
    </row>
    <row r="297" spans="1:12" s="9" customFormat="1" ht="30" customHeight="1">
      <c r="A297" s="487"/>
      <c r="B297" s="476"/>
      <c r="C297" s="476"/>
      <c r="D297" s="138" t="s">
        <v>8</v>
      </c>
      <c r="E297" s="301" t="s">
        <v>1</v>
      </c>
      <c r="F297" s="301" t="s">
        <v>2</v>
      </c>
      <c r="G297" s="301" t="s">
        <v>9</v>
      </c>
      <c r="H297" s="300" t="s">
        <v>3</v>
      </c>
      <c r="I297" s="302" t="s">
        <v>199</v>
      </c>
      <c r="K297" s="335"/>
      <c r="L297" s="61"/>
    </row>
    <row r="298" spans="1:11" s="9" customFormat="1" ht="30" customHeight="1">
      <c r="A298" s="479" t="s">
        <v>109</v>
      </c>
      <c r="B298" s="479"/>
      <c r="C298" s="479"/>
      <c r="D298" s="263">
        <f>95+D348+D359+D358</f>
        <v>595</v>
      </c>
      <c r="E298" s="99">
        <f>E358+E299+E348+E359+E362</f>
        <v>17.099999999999998</v>
      </c>
      <c r="F298" s="99">
        <f>F358+F299+F348+F359+F362</f>
        <v>19.2</v>
      </c>
      <c r="G298" s="99">
        <f>G358+G299+G348+G359+G362</f>
        <v>77.2</v>
      </c>
      <c r="H298" s="99">
        <f>H358+H299+H348+H359+H362</f>
        <v>550.8</v>
      </c>
      <c r="I298" s="278"/>
      <c r="K298" s="335"/>
    </row>
    <row r="299" spans="1:9" ht="30" customHeight="1">
      <c r="A299" s="500" t="s">
        <v>497</v>
      </c>
      <c r="B299" s="500"/>
      <c r="C299" s="500"/>
      <c r="D299" s="23" t="s">
        <v>240</v>
      </c>
      <c r="E299" s="366">
        <v>12.2</v>
      </c>
      <c r="F299" s="366">
        <v>13.2</v>
      </c>
      <c r="G299" s="366">
        <v>5.4</v>
      </c>
      <c r="H299" s="400">
        <f>E299*4+F299*9+G299*4</f>
        <v>189.2</v>
      </c>
      <c r="I299" s="261" t="s">
        <v>496</v>
      </c>
    </row>
    <row r="300" spans="1:11" ht="30" customHeight="1">
      <c r="A300" s="55" t="s">
        <v>365</v>
      </c>
      <c r="B300" s="48">
        <f>C300*2.32</f>
        <v>99.75999999999999</v>
      </c>
      <c r="C300" s="418" t="s">
        <v>415</v>
      </c>
      <c r="D300" s="419"/>
      <c r="E300" s="420"/>
      <c r="F300" s="420"/>
      <c r="G300" s="420"/>
      <c r="H300" s="420"/>
      <c r="I300" s="246"/>
      <c r="K300" s="343" t="s">
        <v>43</v>
      </c>
    </row>
    <row r="301" spans="1:12" ht="30" customHeight="1">
      <c r="A301" s="115" t="s">
        <v>157</v>
      </c>
      <c r="B301" s="48">
        <f>C301*1.34</f>
        <v>57.620000000000005</v>
      </c>
      <c r="C301" s="418" t="s">
        <v>415</v>
      </c>
      <c r="D301" s="419"/>
      <c r="E301" s="420"/>
      <c r="F301" s="420"/>
      <c r="G301" s="420"/>
      <c r="H301" s="420"/>
      <c r="I301" s="246"/>
      <c r="K301" s="97" t="s">
        <v>26</v>
      </c>
      <c r="L301" s="61">
        <f>D413</f>
        <v>40</v>
      </c>
    </row>
    <row r="302" spans="1:12" ht="30" customHeight="1">
      <c r="A302" s="115" t="s">
        <v>130</v>
      </c>
      <c r="B302" s="48">
        <f>C302*1.054</f>
        <v>45.322</v>
      </c>
      <c r="C302" s="418" t="s">
        <v>415</v>
      </c>
      <c r="D302" s="419"/>
      <c r="E302" s="420"/>
      <c r="F302" s="95"/>
      <c r="G302" s="95"/>
      <c r="H302" s="87"/>
      <c r="I302" s="246"/>
      <c r="K302" s="97" t="s">
        <v>131</v>
      </c>
      <c r="L302" s="62">
        <f>D411+C391+D362+C396</f>
        <v>75</v>
      </c>
    </row>
    <row r="303" spans="1:12" ht="30" customHeight="1">
      <c r="A303" s="53" t="s">
        <v>52</v>
      </c>
      <c r="B303" s="36">
        <v>14</v>
      </c>
      <c r="C303" s="36">
        <v>14</v>
      </c>
      <c r="D303" s="36"/>
      <c r="E303" s="407"/>
      <c r="F303" s="41"/>
      <c r="G303" s="41"/>
      <c r="H303" s="36"/>
      <c r="I303" s="246"/>
      <c r="K303" s="322" t="s">
        <v>161</v>
      </c>
      <c r="L303" s="62">
        <f>C312</f>
        <v>6.5</v>
      </c>
    </row>
    <row r="304" spans="1:12" ht="30" customHeight="1">
      <c r="A304" s="58" t="s">
        <v>38</v>
      </c>
      <c r="B304" s="89">
        <f>B303*460/1000</f>
        <v>6.44</v>
      </c>
      <c r="C304" s="89">
        <f>C303*460/1000</f>
        <v>6.44</v>
      </c>
      <c r="D304" s="36"/>
      <c r="E304" s="420"/>
      <c r="F304" s="95"/>
      <c r="G304" s="95"/>
      <c r="H304" s="296"/>
      <c r="I304" s="246"/>
      <c r="K304" s="97" t="s">
        <v>67</v>
      </c>
      <c r="L304" s="62">
        <f>C400</f>
        <v>38</v>
      </c>
    </row>
    <row r="305" spans="1:12" ht="30" customHeight="1">
      <c r="A305" s="58" t="s">
        <v>39</v>
      </c>
      <c r="B305" s="89">
        <f>B303*120/1000</f>
        <v>1.68</v>
      </c>
      <c r="C305" s="89">
        <f>C303*120/1000</f>
        <v>1.68</v>
      </c>
      <c r="D305" s="36"/>
      <c r="E305" s="420"/>
      <c r="F305" s="95"/>
      <c r="G305" s="95"/>
      <c r="H305" s="296"/>
      <c r="I305" s="246"/>
      <c r="K305" s="97" t="s">
        <v>66</v>
      </c>
      <c r="L305" s="17"/>
    </row>
    <row r="306" spans="1:12" ht="30" customHeight="1">
      <c r="A306" s="190" t="s">
        <v>155</v>
      </c>
      <c r="B306" s="191">
        <f>B303-B304</f>
        <v>7.56</v>
      </c>
      <c r="C306" s="191">
        <f>C303-C304</f>
        <v>7.56</v>
      </c>
      <c r="D306" s="36"/>
      <c r="E306" s="420"/>
      <c r="F306" s="95"/>
      <c r="G306" s="95"/>
      <c r="H306" s="296"/>
      <c r="I306" s="246"/>
      <c r="K306" s="97" t="s">
        <v>27</v>
      </c>
      <c r="L306" s="17">
        <f>C376+C349</f>
        <v>166</v>
      </c>
    </row>
    <row r="307" spans="1:12" ht="30" customHeight="1">
      <c r="A307" s="190" t="s">
        <v>156</v>
      </c>
      <c r="B307" s="191">
        <f>B303-B305</f>
        <v>12.32</v>
      </c>
      <c r="C307" s="191">
        <f>C303-C305</f>
        <v>12.32</v>
      </c>
      <c r="D307" s="36"/>
      <c r="E307" s="420"/>
      <c r="F307" s="95"/>
      <c r="G307" s="95"/>
      <c r="H307" s="296"/>
      <c r="I307" s="246"/>
      <c r="K307" s="322" t="s">
        <v>210</v>
      </c>
      <c r="L307" s="62">
        <f>C383+C384+C367+C380+C371+C381+C309+C310+C353+C355+C356+C386+C393+C395</f>
        <v>179.5</v>
      </c>
    </row>
    <row r="308" spans="1:12" ht="30" customHeight="1">
      <c r="A308" s="56" t="s">
        <v>86</v>
      </c>
      <c r="B308" s="37">
        <v>7</v>
      </c>
      <c r="C308" s="37">
        <v>7</v>
      </c>
      <c r="D308" s="294"/>
      <c r="E308" s="420"/>
      <c r="F308" s="41"/>
      <c r="G308" s="41"/>
      <c r="H308" s="37"/>
      <c r="I308" s="246"/>
      <c r="K308" s="97" t="s">
        <v>28</v>
      </c>
      <c r="L308" s="17">
        <f>C366+D358</f>
        <v>170</v>
      </c>
    </row>
    <row r="309" spans="1:12" ht="30" customHeight="1">
      <c r="A309" s="56" t="s">
        <v>18</v>
      </c>
      <c r="B309" s="37">
        <f>C309*1.19</f>
        <v>10.709999999999999</v>
      </c>
      <c r="C309" s="37">
        <v>9</v>
      </c>
      <c r="D309" s="294"/>
      <c r="E309" s="420"/>
      <c r="F309" s="41"/>
      <c r="G309" s="41"/>
      <c r="H309" s="37"/>
      <c r="I309" s="246"/>
      <c r="K309" s="97" t="s">
        <v>177</v>
      </c>
      <c r="L309" s="61">
        <f>C360</f>
        <v>25</v>
      </c>
    </row>
    <row r="310" spans="1:12" ht="30" customHeight="1">
      <c r="A310" s="51" t="s">
        <v>61</v>
      </c>
      <c r="B310" s="35">
        <f>C310*1.25</f>
        <v>42.5</v>
      </c>
      <c r="C310" s="5">
        <v>34</v>
      </c>
      <c r="D310" s="296"/>
      <c r="E310" s="420"/>
      <c r="F310" s="95"/>
      <c r="G310" s="95"/>
      <c r="H310" s="95"/>
      <c r="I310" s="246"/>
      <c r="K310" s="97" t="s">
        <v>211</v>
      </c>
      <c r="L310" s="62">
        <f>C361</f>
        <v>15</v>
      </c>
    </row>
    <row r="311" spans="1:12" ht="30" customHeight="1">
      <c r="A311" s="51" t="s">
        <v>16</v>
      </c>
      <c r="B311" s="35">
        <f>C311*1.33</f>
        <v>45.22</v>
      </c>
      <c r="C311" s="5">
        <v>34</v>
      </c>
      <c r="D311" s="296"/>
      <c r="E311" s="420"/>
      <c r="F311" s="95"/>
      <c r="G311" s="95"/>
      <c r="H311" s="95"/>
      <c r="I311" s="246"/>
      <c r="K311" s="97" t="s">
        <v>375</v>
      </c>
      <c r="L311" s="61">
        <f>D403</f>
        <v>200</v>
      </c>
    </row>
    <row r="312" spans="1:11" ht="30" customHeight="1">
      <c r="A312" s="56" t="s">
        <v>21</v>
      </c>
      <c r="B312" s="37">
        <v>6.5</v>
      </c>
      <c r="C312" s="37">
        <v>6.5</v>
      </c>
      <c r="D312" s="294"/>
      <c r="E312" s="420"/>
      <c r="F312" s="41"/>
      <c r="G312" s="41"/>
      <c r="H312" s="37"/>
      <c r="I312" s="246"/>
      <c r="K312" s="102" t="s">
        <v>29</v>
      </c>
    </row>
    <row r="313" spans="1:12" ht="30" customHeight="1">
      <c r="A313" s="56" t="s">
        <v>57</v>
      </c>
      <c r="B313" s="37">
        <v>10</v>
      </c>
      <c r="C313" s="37">
        <v>10</v>
      </c>
      <c r="D313" s="294"/>
      <c r="E313" s="420"/>
      <c r="F313" s="41"/>
      <c r="G313" s="41"/>
      <c r="H313" s="37"/>
      <c r="I313" s="246"/>
      <c r="K313" s="97" t="s">
        <v>71</v>
      </c>
      <c r="L313" s="9"/>
    </row>
    <row r="314" spans="1:12" ht="30" customHeight="1">
      <c r="A314" s="421" t="s">
        <v>167</v>
      </c>
      <c r="B314" s="36">
        <v>3</v>
      </c>
      <c r="C314" s="36">
        <v>3</v>
      </c>
      <c r="D314" s="294"/>
      <c r="E314" s="420"/>
      <c r="F314" s="41"/>
      <c r="G314" s="41"/>
      <c r="H314" s="37"/>
      <c r="I314" s="246"/>
      <c r="K314" s="97" t="s">
        <v>189</v>
      </c>
      <c r="L314" s="9"/>
    </row>
    <row r="315" spans="1:12" ht="30" customHeight="1">
      <c r="A315" s="51" t="s">
        <v>37</v>
      </c>
      <c r="B315" s="5">
        <v>5</v>
      </c>
      <c r="C315" s="5">
        <v>5</v>
      </c>
      <c r="D315" s="294"/>
      <c r="E315" s="420"/>
      <c r="F315" s="41"/>
      <c r="G315" s="41"/>
      <c r="H315" s="37"/>
      <c r="I315" s="246"/>
      <c r="K315" s="97" t="s">
        <v>190</v>
      </c>
      <c r="L315" s="9"/>
    </row>
    <row r="316" spans="1:12" ht="30" customHeight="1">
      <c r="A316" s="481" t="s">
        <v>70</v>
      </c>
      <c r="B316" s="481"/>
      <c r="C316" s="481"/>
      <c r="D316" s="481"/>
      <c r="E316" s="481"/>
      <c r="F316" s="481"/>
      <c r="G316" s="481"/>
      <c r="H316" s="481"/>
      <c r="I316" s="481"/>
      <c r="K316" s="310" t="s">
        <v>30</v>
      </c>
      <c r="L316" s="170"/>
    </row>
    <row r="317" spans="1:12" ht="30" customHeight="1">
      <c r="A317" s="482" t="s">
        <v>490</v>
      </c>
      <c r="B317" s="489"/>
      <c r="C317" s="489"/>
      <c r="D317" s="23" t="s">
        <v>240</v>
      </c>
      <c r="E317" s="110">
        <v>11.2</v>
      </c>
      <c r="F317" s="110">
        <v>11.9</v>
      </c>
      <c r="G317" s="110">
        <v>9.5</v>
      </c>
      <c r="H317" s="256">
        <f>E317*4+F317*9+G317*4</f>
        <v>189.9</v>
      </c>
      <c r="I317" s="261" t="s">
        <v>450</v>
      </c>
      <c r="K317" s="97" t="s">
        <v>179</v>
      </c>
      <c r="L317" s="17">
        <f>C374+C388+C389</f>
        <v>100</v>
      </c>
    </row>
    <row r="318" spans="1:12" ht="30" customHeight="1">
      <c r="A318" s="115" t="s">
        <v>451</v>
      </c>
      <c r="B318" s="415">
        <f>C318*1.17</f>
        <v>24.57</v>
      </c>
      <c r="C318" s="60">
        <v>21</v>
      </c>
      <c r="D318" s="296"/>
      <c r="E318" s="95"/>
      <c r="F318" s="95"/>
      <c r="G318" s="296"/>
      <c r="H318" s="296"/>
      <c r="I318" s="426"/>
      <c r="K318" s="97" t="s">
        <v>181</v>
      </c>
      <c r="L318" s="17" t="str">
        <f>C300</f>
        <v>43</v>
      </c>
    </row>
    <row r="319" spans="1:12" ht="30" customHeight="1">
      <c r="A319" s="86" t="s">
        <v>452</v>
      </c>
      <c r="B319" s="48">
        <f>C319*1.054</f>
        <v>41.106</v>
      </c>
      <c r="C319" s="60">
        <v>39</v>
      </c>
      <c r="D319" s="296"/>
      <c r="E319" s="44"/>
      <c r="F319" s="44"/>
      <c r="G319" s="44"/>
      <c r="H319" s="44"/>
      <c r="I319" s="136"/>
      <c r="K319" s="97" t="s">
        <v>180</v>
      </c>
      <c r="L319" s="9"/>
    </row>
    <row r="320" spans="1:12" ht="30" customHeight="1">
      <c r="A320" s="56" t="s">
        <v>10</v>
      </c>
      <c r="B320" s="90">
        <v>13</v>
      </c>
      <c r="C320" s="90">
        <v>13</v>
      </c>
      <c r="D320" s="296"/>
      <c r="E320" s="41"/>
      <c r="F320" s="41"/>
      <c r="G320" s="41"/>
      <c r="H320" s="37"/>
      <c r="I320" s="427"/>
      <c r="K320" s="97" t="s">
        <v>182</v>
      </c>
      <c r="L320" s="9"/>
    </row>
    <row r="321" spans="1:12" ht="30" customHeight="1">
      <c r="A321" s="56" t="s">
        <v>52</v>
      </c>
      <c r="B321" s="60">
        <v>16</v>
      </c>
      <c r="C321" s="60">
        <v>16</v>
      </c>
      <c r="D321" s="36"/>
      <c r="E321" s="41"/>
      <c r="F321" s="41"/>
      <c r="G321" s="41"/>
      <c r="H321" s="36"/>
      <c r="I321" s="428"/>
      <c r="K321" s="214" t="s">
        <v>82</v>
      </c>
      <c r="L321" s="17">
        <f>C303+C392</f>
        <v>25</v>
      </c>
    </row>
    <row r="322" spans="1:12" ht="30" customHeight="1">
      <c r="A322" s="58" t="s">
        <v>38</v>
      </c>
      <c r="B322" s="89">
        <f>B321*460/1000</f>
        <v>7.36</v>
      </c>
      <c r="C322" s="89">
        <f>C321*460/1000</f>
        <v>7.36</v>
      </c>
      <c r="D322" s="296"/>
      <c r="E322" s="41"/>
      <c r="F322" s="41"/>
      <c r="G322" s="41"/>
      <c r="H322" s="36"/>
      <c r="I322" s="428"/>
      <c r="K322" s="215" t="s">
        <v>183</v>
      </c>
      <c r="L322" s="17"/>
    </row>
    <row r="323" spans="1:12" ht="30" customHeight="1">
      <c r="A323" s="58" t="s">
        <v>39</v>
      </c>
      <c r="B323" s="89">
        <f>B321*120/1000</f>
        <v>1.92</v>
      </c>
      <c r="C323" s="89">
        <f>C321*120/1000</f>
        <v>1.92</v>
      </c>
      <c r="D323" s="296"/>
      <c r="E323" s="41"/>
      <c r="F323" s="41"/>
      <c r="G323" s="41"/>
      <c r="H323" s="36"/>
      <c r="I323" s="428"/>
      <c r="K323" s="97" t="s">
        <v>184</v>
      </c>
      <c r="L323" s="17"/>
    </row>
    <row r="324" spans="1:12" ht="30" customHeight="1">
      <c r="A324" s="190" t="s">
        <v>155</v>
      </c>
      <c r="B324" s="191">
        <f>B321-B322</f>
        <v>8.64</v>
      </c>
      <c r="C324" s="191">
        <f>C321-C322</f>
        <v>8.64</v>
      </c>
      <c r="D324" s="296"/>
      <c r="E324" s="41"/>
      <c r="F324" s="41"/>
      <c r="G324" s="41"/>
      <c r="H324" s="36"/>
      <c r="I324" s="428"/>
      <c r="K324" s="97" t="s">
        <v>31</v>
      </c>
      <c r="L324" s="17">
        <f>C313+C385</f>
        <v>15</v>
      </c>
    </row>
    <row r="325" spans="1:12" ht="30" customHeight="1">
      <c r="A325" s="190" t="s">
        <v>156</v>
      </c>
      <c r="B325" s="191">
        <f>B321-B323</f>
        <v>14.08</v>
      </c>
      <c r="C325" s="191">
        <f>C321-C323</f>
        <v>14.08</v>
      </c>
      <c r="D325" s="296"/>
      <c r="E325" s="41"/>
      <c r="F325" s="41"/>
      <c r="G325" s="41"/>
      <c r="H325" s="36"/>
      <c r="I325" s="428"/>
      <c r="K325" s="322" t="s">
        <v>185</v>
      </c>
      <c r="L325" s="359">
        <f>C370</f>
        <v>6</v>
      </c>
    </row>
    <row r="326" spans="1:12" ht="30" customHeight="1">
      <c r="A326" s="56" t="s">
        <v>18</v>
      </c>
      <c r="B326" s="90">
        <f>C326*1.19</f>
        <v>32.129999999999995</v>
      </c>
      <c r="C326" s="90">
        <v>27</v>
      </c>
      <c r="D326" s="296"/>
      <c r="E326" s="41"/>
      <c r="F326" s="41"/>
      <c r="G326" s="41"/>
      <c r="H326" s="37"/>
      <c r="I326" s="427"/>
      <c r="K326" s="97" t="s">
        <v>32</v>
      </c>
      <c r="L326" s="17">
        <f>C382+C402+C357+C315+C398</f>
        <v>28</v>
      </c>
    </row>
    <row r="327" spans="1:12" ht="30" customHeight="1">
      <c r="A327" s="56" t="s">
        <v>19</v>
      </c>
      <c r="B327" s="90">
        <v>3</v>
      </c>
      <c r="C327" s="90">
        <v>3</v>
      </c>
      <c r="D327" s="296"/>
      <c r="E327" s="41"/>
      <c r="F327" s="41"/>
      <c r="G327" s="41"/>
      <c r="H327" s="37"/>
      <c r="I327" s="427"/>
      <c r="K327" s="97" t="s">
        <v>33</v>
      </c>
      <c r="L327" s="17">
        <f>C372+C314+C397</f>
        <v>8</v>
      </c>
    </row>
    <row r="328" spans="1:12" ht="30" customHeight="1">
      <c r="A328" s="56" t="s">
        <v>153</v>
      </c>
      <c r="B328" s="90"/>
      <c r="C328" s="90">
        <v>14</v>
      </c>
      <c r="D328" s="296"/>
      <c r="E328" s="41"/>
      <c r="F328" s="41"/>
      <c r="G328" s="41"/>
      <c r="H328" s="37"/>
      <c r="I328" s="427"/>
      <c r="K328" s="97" t="s">
        <v>186</v>
      </c>
      <c r="L328" s="17">
        <f>C308+C394</f>
        <v>10.5</v>
      </c>
    </row>
    <row r="329" spans="1:11" ht="30" customHeight="1">
      <c r="A329" s="53" t="s">
        <v>453</v>
      </c>
      <c r="B329" s="90">
        <v>5</v>
      </c>
      <c r="C329" s="90">
        <v>5</v>
      </c>
      <c r="D329" s="36"/>
      <c r="E329" s="41"/>
      <c r="F329" s="41"/>
      <c r="G329" s="41"/>
      <c r="H329" s="37"/>
      <c r="I329" s="427"/>
      <c r="K329" s="97" t="s">
        <v>352</v>
      </c>
    </row>
    <row r="330" spans="1:12" ht="30" customHeight="1">
      <c r="A330" s="56" t="s">
        <v>22</v>
      </c>
      <c r="B330" s="90">
        <v>6</v>
      </c>
      <c r="C330" s="90">
        <v>6</v>
      </c>
      <c r="D330" s="296"/>
      <c r="E330" s="41"/>
      <c r="F330" s="41"/>
      <c r="G330" s="41"/>
      <c r="H330" s="37"/>
      <c r="I330" s="427"/>
      <c r="K330" s="97" t="s">
        <v>188</v>
      </c>
      <c r="L330" s="15">
        <v>1.5</v>
      </c>
    </row>
    <row r="331" spans="1:12" ht="30" customHeight="1">
      <c r="A331" s="56" t="s">
        <v>167</v>
      </c>
      <c r="B331" s="90">
        <v>2</v>
      </c>
      <c r="C331" s="90">
        <v>2</v>
      </c>
      <c r="D331" s="36"/>
      <c r="E331" s="41"/>
      <c r="F331" s="41"/>
      <c r="G331" s="41"/>
      <c r="H331" s="37"/>
      <c r="I331" s="427"/>
      <c r="K331" s="97" t="s">
        <v>187</v>
      </c>
      <c r="L331" s="15">
        <v>1</v>
      </c>
    </row>
    <row r="332" spans="1:12" ht="30" customHeight="1">
      <c r="A332" s="51" t="s">
        <v>37</v>
      </c>
      <c r="B332" s="5">
        <v>5</v>
      </c>
      <c r="C332" s="5">
        <v>5</v>
      </c>
      <c r="D332" s="36"/>
      <c r="E332" s="41"/>
      <c r="F332" s="41"/>
      <c r="G332" s="41"/>
      <c r="H332" s="37"/>
      <c r="I332" s="411"/>
      <c r="K332" s="310"/>
      <c r="L332" s="170"/>
    </row>
    <row r="333" spans="1:12" ht="30" customHeight="1">
      <c r="A333" s="481" t="s">
        <v>70</v>
      </c>
      <c r="B333" s="481"/>
      <c r="C333" s="481"/>
      <c r="D333" s="481"/>
      <c r="E333" s="481"/>
      <c r="F333" s="481"/>
      <c r="G333" s="481"/>
      <c r="H333" s="481"/>
      <c r="I333" s="481"/>
      <c r="K333" s="310"/>
      <c r="L333" s="170"/>
    </row>
    <row r="334" spans="1:9" s="9" customFormat="1" ht="30" customHeight="1">
      <c r="A334" s="484" t="s">
        <v>239</v>
      </c>
      <c r="B334" s="484"/>
      <c r="C334" s="484"/>
      <c r="D334" s="21" t="s">
        <v>240</v>
      </c>
      <c r="E334" s="44">
        <v>13.3</v>
      </c>
      <c r="F334" s="44">
        <v>12.9</v>
      </c>
      <c r="G334" s="44">
        <v>10.8</v>
      </c>
      <c r="H334" s="43">
        <f>G334*4+F334*9+E334*4</f>
        <v>212.5</v>
      </c>
      <c r="I334" s="276" t="s">
        <v>238</v>
      </c>
    </row>
    <row r="335" spans="1:9" s="9" customFormat="1" ht="30" customHeight="1">
      <c r="A335" s="86" t="s">
        <v>88</v>
      </c>
      <c r="B335" s="48">
        <f>C335*1.36</f>
        <v>91.12</v>
      </c>
      <c r="C335" s="5">
        <v>67</v>
      </c>
      <c r="D335" s="36"/>
      <c r="E335" s="95"/>
      <c r="F335" s="44"/>
      <c r="G335" s="44"/>
      <c r="H335" s="43"/>
      <c r="I335" s="275"/>
    </row>
    <row r="336" spans="1:9" s="9" customFormat="1" ht="30" customHeight="1">
      <c r="A336" s="86" t="s">
        <v>89</v>
      </c>
      <c r="B336" s="48">
        <f>C336*1.18</f>
        <v>79.06</v>
      </c>
      <c r="C336" s="35">
        <v>67</v>
      </c>
      <c r="D336" s="36"/>
      <c r="E336" s="44"/>
      <c r="F336" s="44"/>
      <c r="G336" s="44"/>
      <c r="H336" s="43"/>
      <c r="I336" s="275"/>
    </row>
    <row r="337" spans="1:9" s="9" customFormat="1" ht="30" customHeight="1">
      <c r="A337" s="51" t="s">
        <v>10</v>
      </c>
      <c r="B337" s="5">
        <v>14</v>
      </c>
      <c r="C337" s="5">
        <v>14</v>
      </c>
      <c r="D337" s="36"/>
      <c r="E337" s="95"/>
      <c r="F337" s="44"/>
      <c r="G337" s="44"/>
      <c r="H337" s="43"/>
      <c r="I337" s="274"/>
    </row>
    <row r="338" spans="1:9" s="9" customFormat="1" ht="30" customHeight="1">
      <c r="A338" s="53" t="s">
        <v>241</v>
      </c>
      <c r="B338" s="36">
        <v>11</v>
      </c>
      <c r="C338" s="36">
        <v>11</v>
      </c>
      <c r="D338" s="36"/>
      <c r="E338" s="41"/>
      <c r="F338" s="41"/>
      <c r="G338" s="41"/>
      <c r="H338" s="41"/>
      <c r="I338" s="275"/>
    </row>
    <row r="339" spans="1:13" s="9" customFormat="1" ht="30" customHeight="1">
      <c r="A339" s="58" t="s">
        <v>38</v>
      </c>
      <c r="B339" s="89">
        <f>B338*460/1000</f>
        <v>5.06</v>
      </c>
      <c r="C339" s="89">
        <f>C338*460/1000</f>
        <v>5.06</v>
      </c>
      <c r="D339" s="36"/>
      <c r="E339" s="95"/>
      <c r="F339" s="95"/>
      <c r="G339" s="95"/>
      <c r="H339" s="95"/>
      <c r="I339" s="274"/>
      <c r="J339" s="61"/>
      <c r="M339" s="61"/>
    </row>
    <row r="340" spans="1:9" s="9" customFormat="1" ht="30" customHeight="1">
      <c r="A340" s="58" t="s">
        <v>39</v>
      </c>
      <c r="B340" s="89">
        <f>B338*120/1000</f>
        <v>1.32</v>
      </c>
      <c r="C340" s="89">
        <f>C338*120/1000</f>
        <v>1.32</v>
      </c>
      <c r="D340" s="36"/>
      <c r="E340" s="95"/>
      <c r="F340" s="95"/>
      <c r="G340" s="95"/>
      <c r="H340" s="95"/>
      <c r="I340" s="274"/>
    </row>
    <row r="341" spans="1:9" s="9" customFormat="1" ht="30" customHeight="1">
      <c r="A341" s="190" t="s">
        <v>155</v>
      </c>
      <c r="B341" s="191">
        <f>B338-B339</f>
        <v>5.94</v>
      </c>
      <c r="C341" s="191">
        <f>C338-C339</f>
        <v>5.94</v>
      </c>
      <c r="D341" s="36"/>
      <c r="E341" s="95"/>
      <c r="F341" s="95"/>
      <c r="G341" s="95"/>
      <c r="H341" s="95"/>
      <c r="I341" s="274"/>
    </row>
    <row r="342" spans="1:9" s="9" customFormat="1" ht="30" customHeight="1">
      <c r="A342" s="190" t="s">
        <v>156</v>
      </c>
      <c r="B342" s="191">
        <f>B338-B340</f>
        <v>9.68</v>
      </c>
      <c r="C342" s="191">
        <f>C338-C340</f>
        <v>9.68</v>
      </c>
      <c r="D342" s="36"/>
      <c r="E342" s="95"/>
      <c r="F342" s="95"/>
      <c r="G342" s="95"/>
      <c r="H342" s="95"/>
      <c r="I342" s="274"/>
    </row>
    <row r="343" spans="1:9" s="9" customFormat="1" ht="30" customHeight="1">
      <c r="A343" s="53" t="s">
        <v>18</v>
      </c>
      <c r="B343" s="37">
        <f>C343*1.19</f>
        <v>8.33</v>
      </c>
      <c r="C343" s="36">
        <v>7</v>
      </c>
      <c r="D343" s="36"/>
      <c r="E343" s="95"/>
      <c r="F343" s="44"/>
      <c r="G343" s="44"/>
      <c r="H343" s="294"/>
      <c r="I343" s="274"/>
    </row>
    <row r="344" spans="1:9" s="9" customFormat="1" ht="30" customHeight="1">
      <c r="A344" s="53" t="s">
        <v>86</v>
      </c>
      <c r="B344" s="234">
        <v>3.5</v>
      </c>
      <c r="C344" s="234">
        <v>3.5</v>
      </c>
      <c r="D344" s="36"/>
      <c r="E344" s="95"/>
      <c r="F344" s="95"/>
      <c r="G344" s="95"/>
      <c r="H344" s="266"/>
      <c r="I344" s="274"/>
    </row>
    <row r="345" spans="1:9" s="9" customFormat="1" ht="30" customHeight="1">
      <c r="A345" s="53" t="s">
        <v>172</v>
      </c>
      <c r="B345" s="234">
        <v>7</v>
      </c>
      <c r="C345" s="234">
        <v>7</v>
      </c>
      <c r="D345" s="36"/>
      <c r="E345" s="95"/>
      <c r="F345" s="95"/>
      <c r="G345" s="95"/>
      <c r="H345" s="266"/>
      <c r="I345" s="274"/>
    </row>
    <row r="346" spans="1:9" s="9" customFormat="1" ht="30" customHeight="1">
      <c r="A346" s="51" t="s">
        <v>11</v>
      </c>
      <c r="B346" s="5">
        <v>2</v>
      </c>
      <c r="C346" s="5">
        <v>2</v>
      </c>
      <c r="D346" s="36"/>
      <c r="E346" s="95"/>
      <c r="F346" s="44"/>
      <c r="G346" s="44"/>
      <c r="H346" s="43"/>
      <c r="I346" s="274"/>
    </row>
    <row r="347" spans="1:9" s="9" customFormat="1" ht="30" customHeight="1">
      <c r="A347" s="51" t="s">
        <v>37</v>
      </c>
      <c r="B347" s="5">
        <v>5</v>
      </c>
      <c r="C347" s="5">
        <v>5</v>
      </c>
      <c r="D347" s="187"/>
      <c r="E347" s="95"/>
      <c r="F347" s="95"/>
      <c r="G347" s="95"/>
      <c r="H347" s="296"/>
      <c r="I347" s="274"/>
    </row>
    <row r="348" spans="1:9" s="9" customFormat="1" ht="30" customHeight="1">
      <c r="A348" s="494" t="s">
        <v>329</v>
      </c>
      <c r="B348" s="494"/>
      <c r="C348" s="494"/>
      <c r="D348" s="39">
        <v>150</v>
      </c>
      <c r="E348" s="83">
        <v>2.9</v>
      </c>
      <c r="F348" s="83">
        <v>5.8</v>
      </c>
      <c r="G348" s="83">
        <v>25.8</v>
      </c>
      <c r="H348" s="257">
        <f>G348*4+F348*9+E348*4</f>
        <v>167</v>
      </c>
      <c r="I348" s="138" t="s">
        <v>330</v>
      </c>
    </row>
    <row r="349" spans="1:9" s="9" customFormat="1" ht="30" customHeight="1">
      <c r="A349" s="52" t="s">
        <v>12</v>
      </c>
      <c r="B349" s="24">
        <f>C349*1.33</f>
        <v>170.24</v>
      </c>
      <c r="C349" s="24">
        <v>128</v>
      </c>
      <c r="D349" s="25"/>
      <c r="E349" s="108"/>
      <c r="F349" s="108"/>
      <c r="G349" s="108"/>
      <c r="H349" s="422"/>
      <c r="I349" s="423"/>
    </row>
    <row r="350" spans="1:11" s="9" customFormat="1" ht="30" customHeight="1">
      <c r="A350" s="52" t="s">
        <v>13</v>
      </c>
      <c r="B350" s="24">
        <f>C350*1.43</f>
        <v>183.04</v>
      </c>
      <c r="C350" s="24">
        <v>128</v>
      </c>
      <c r="D350" s="25"/>
      <c r="E350" s="108"/>
      <c r="F350" s="108"/>
      <c r="G350" s="108"/>
      <c r="H350" s="108"/>
      <c r="I350" s="423"/>
      <c r="K350" s="335"/>
    </row>
    <row r="351" spans="1:11" s="9" customFormat="1" ht="30" customHeight="1">
      <c r="A351" s="52" t="s">
        <v>14</v>
      </c>
      <c r="B351" s="24">
        <f>C351*1.54</f>
        <v>197.12</v>
      </c>
      <c r="C351" s="24">
        <v>128</v>
      </c>
      <c r="D351" s="25"/>
      <c r="E351" s="108"/>
      <c r="F351" s="83"/>
      <c r="G351" s="83"/>
      <c r="H351" s="77"/>
      <c r="I351" s="423"/>
      <c r="K351" s="335"/>
    </row>
    <row r="352" spans="1:11" s="9" customFormat="1" ht="30" customHeight="1">
      <c r="A352" s="52" t="s">
        <v>15</v>
      </c>
      <c r="B352" s="24">
        <f>C352*1.67</f>
        <v>213.76</v>
      </c>
      <c r="C352" s="24">
        <v>128</v>
      </c>
      <c r="D352" s="25"/>
      <c r="E352" s="108"/>
      <c r="F352" s="83"/>
      <c r="G352" s="83"/>
      <c r="H352" s="77"/>
      <c r="I352" s="423"/>
      <c r="K352" s="335"/>
    </row>
    <row r="353" spans="1:11" s="9" customFormat="1" ht="30" customHeight="1">
      <c r="A353" s="424" t="s">
        <v>61</v>
      </c>
      <c r="B353" s="22">
        <f>C353*1.25</f>
        <v>18.75</v>
      </c>
      <c r="C353" s="32">
        <v>15</v>
      </c>
      <c r="D353" s="25"/>
      <c r="E353" s="108"/>
      <c r="F353" s="108"/>
      <c r="G353" s="108"/>
      <c r="H353" s="91"/>
      <c r="I353" s="423"/>
      <c r="K353" s="335"/>
    </row>
    <row r="354" spans="1:11" s="9" customFormat="1" ht="30" customHeight="1">
      <c r="A354" s="424" t="s">
        <v>16</v>
      </c>
      <c r="B354" s="22">
        <f>C354*1.33</f>
        <v>19.950000000000003</v>
      </c>
      <c r="C354" s="32">
        <v>15</v>
      </c>
      <c r="D354" s="25"/>
      <c r="E354" s="108"/>
      <c r="F354" s="108"/>
      <c r="G354" s="108"/>
      <c r="H354" s="91"/>
      <c r="I354" s="423"/>
      <c r="K354" s="335"/>
    </row>
    <row r="355" spans="1:11" s="9" customFormat="1" ht="30" customHeight="1">
      <c r="A355" s="424" t="s">
        <v>18</v>
      </c>
      <c r="B355" s="24">
        <f>C355*1.19</f>
        <v>28.56</v>
      </c>
      <c r="C355" s="32">
        <v>24</v>
      </c>
      <c r="D355" s="25"/>
      <c r="E355" s="108"/>
      <c r="F355" s="108"/>
      <c r="G355" s="108"/>
      <c r="H355" s="91"/>
      <c r="I355" s="423"/>
      <c r="K355" s="335"/>
    </row>
    <row r="356" spans="1:11" s="9" customFormat="1" ht="30" customHeight="1">
      <c r="A356" s="425" t="s">
        <v>54</v>
      </c>
      <c r="B356" s="22">
        <v>9</v>
      </c>
      <c r="C356" s="32">
        <v>9</v>
      </c>
      <c r="D356" s="25"/>
      <c r="E356" s="108"/>
      <c r="F356" s="108"/>
      <c r="G356" s="108"/>
      <c r="H356" s="91"/>
      <c r="I356" s="423"/>
      <c r="K356" s="335"/>
    </row>
    <row r="357" spans="1:11" s="9" customFormat="1" ht="30" customHeight="1">
      <c r="A357" s="424" t="s">
        <v>19</v>
      </c>
      <c r="B357" s="22">
        <v>8</v>
      </c>
      <c r="C357" s="22">
        <v>8</v>
      </c>
      <c r="D357" s="25"/>
      <c r="E357" s="108"/>
      <c r="F357" s="108"/>
      <c r="G357" s="108"/>
      <c r="H357" s="108"/>
      <c r="I357" s="423"/>
      <c r="K357" s="335"/>
    </row>
    <row r="358" spans="1:11" s="9" customFormat="1" ht="30" customHeight="1">
      <c r="A358" s="482" t="s">
        <v>96</v>
      </c>
      <c r="B358" s="478"/>
      <c r="C358" s="478"/>
      <c r="D358" s="26">
        <v>150</v>
      </c>
      <c r="E358" s="45">
        <v>0.2</v>
      </c>
      <c r="F358" s="45">
        <v>0</v>
      </c>
      <c r="G358" s="45">
        <v>8.6</v>
      </c>
      <c r="H358" s="43">
        <f>E358*4+F358*9+G358*4</f>
        <v>35.199999999999996</v>
      </c>
      <c r="I358" s="276" t="s">
        <v>215</v>
      </c>
      <c r="K358" s="335"/>
    </row>
    <row r="359" spans="1:11" s="9" customFormat="1" ht="30" customHeight="1">
      <c r="A359" s="491" t="s">
        <v>300</v>
      </c>
      <c r="B359" s="491"/>
      <c r="C359" s="491"/>
      <c r="D359" s="26">
        <v>200</v>
      </c>
      <c r="E359" s="45">
        <v>0.9</v>
      </c>
      <c r="F359" s="45">
        <v>0</v>
      </c>
      <c r="G359" s="45">
        <v>28.7</v>
      </c>
      <c r="H359" s="43">
        <f>E359*4+F359*9+G359*4</f>
        <v>118.39999999999999</v>
      </c>
      <c r="I359" s="261" t="s">
        <v>507</v>
      </c>
      <c r="K359" s="335"/>
    </row>
    <row r="360" spans="1:11" s="9" customFormat="1" ht="30" customHeight="1">
      <c r="A360" s="53" t="s">
        <v>125</v>
      </c>
      <c r="B360" s="36">
        <v>25</v>
      </c>
      <c r="C360" s="36">
        <v>25</v>
      </c>
      <c r="D360" s="36"/>
      <c r="E360" s="95"/>
      <c r="F360" s="95"/>
      <c r="G360" s="95"/>
      <c r="H360" s="95"/>
      <c r="I360" s="274"/>
      <c r="J360" s="15"/>
      <c r="K360" s="335"/>
    </row>
    <row r="361" spans="1:11" s="9" customFormat="1" ht="30" customHeight="1">
      <c r="A361" s="53" t="s">
        <v>4</v>
      </c>
      <c r="B361" s="36">
        <v>15</v>
      </c>
      <c r="C361" s="36">
        <v>15</v>
      </c>
      <c r="D361" s="36"/>
      <c r="E361" s="242"/>
      <c r="F361" s="242"/>
      <c r="G361" s="242"/>
      <c r="H361" s="267"/>
      <c r="I361" s="274"/>
      <c r="J361" s="15"/>
      <c r="K361" s="335"/>
    </row>
    <row r="362" spans="1:11" s="9" customFormat="1" ht="30" customHeight="1">
      <c r="A362" s="354" t="s">
        <v>20</v>
      </c>
      <c r="B362" s="25">
        <v>20</v>
      </c>
      <c r="C362" s="25">
        <v>20</v>
      </c>
      <c r="D362" s="39">
        <v>20</v>
      </c>
      <c r="E362" s="366">
        <v>0.9</v>
      </c>
      <c r="F362" s="366">
        <v>0.2</v>
      </c>
      <c r="G362" s="366">
        <v>8.7</v>
      </c>
      <c r="H362" s="367">
        <v>41</v>
      </c>
      <c r="I362" s="274"/>
      <c r="J362" s="15"/>
      <c r="K362" s="335"/>
    </row>
    <row r="363" spans="1:11" s="9" customFormat="1" ht="30" customHeight="1">
      <c r="A363" s="477" t="s">
        <v>75</v>
      </c>
      <c r="B363" s="477"/>
      <c r="C363" s="477"/>
      <c r="D363" s="294">
        <v>20</v>
      </c>
      <c r="E363" s="242"/>
      <c r="F363" s="242"/>
      <c r="G363" s="242"/>
      <c r="H363" s="267"/>
      <c r="I363" s="274"/>
      <c r="J363" s="15"/>
      <c r="K363" s="335"/>
    </row>
    <row r="364" spans="1:11" s="9" customFormat="1" ht="30" customHeight="1">
      <c r="A364" s="475" t="s">
        <v>58</v>
      </c>
      <c r="B364" s="475"/>
      <c r="C364" s="475"/>
      <c r="D364" s="262">
        <f>D365+275+95+D399+D403</f>
        <v>780</v>
      </c>
      <c r="E364" s="99">
        <f>E365+E373+E387+E399+E403+E411+E413</f>
        <v>25.899999999999995</v>
      </c>
      <c r="F364" s="99">
        <f>F365+F373+F387+F399+F403+F411+F413</f>
        <v>31.1</v>
      </c>
      <c r="G364" s="99">
        <f>G365+G373+G387+G399+G403+G411+G413</f>
        <v>105.8</v>
      </c>
      <c r="H364" s="99">
        <f>H365+H373+H387+H399+H403+H411+H413</f>
        <v>805.3</v>
      </c>
      <c r="I364" s="274"/>
      <c r="J364" s="15"/>
      <c r="K364" s="335"/>
    </row>
    <row r="365" spans="1:11" s="9" customFormat="1" ht="30" customHeight="1">
      <c r="A365" s="482" t="s">
        <v>498</v>
      </c>
      <c r="B365" s="478"/>
      <c r="C365" s="478"/>
      <c r="D365" s="23">
        <v>60</v>
      </c>
      <c r="E365" s="110">
        <v>1.6</v>
      </c>
      <c r="F365" s="110">
        <v>4.1</v>
      </c>
      <c r="G365" s="110">
        <v>3.7</v>
      </c>
      <c r="H365" s="43">
        <v>59</v>
      </c>
      <c r="I365" s="230" t="s">
        <v>414</v>
      </c>
      <c r="J365" s="15"/>
      <c r="K365" s="335"/>
    </row>
    <row r="366" spans="1:11" s="9" customFormat="1" ht="30" customHeight="1">
      <c r="A366" s="56" t="s">
        <v>166</v>
      </c>
      <c r="B366" s="37">
        <f>C366*1.43</f>
        <v>28.599999999999998</v>
      </c>
      <c r="C366" s="37">
        <v>20</v>
      </c>
      <c r="D366" s="36"/>
      <c r="E366" s="36"/>
      <c r="F366" s="36"/>
      <c r="G366" s="156"/>
      <c r="H366" s="156"/>
      <c r="I366" s="274"/>
      <c r="J366" s="15"/>
      <c r="K366" s="335"/>
    </row>
    <row r="367" spans="1:10" ht="30" customHeight="1">
      <c r="A367" s="51" t="s">
        <v>17</v>
      </c>
      <c r="B367" s="37">
        <f>C367*1.25</f>
        <v>42.5</v>
      </c>
      <c r="C367" s="37">
        <v>34</v>
      </c>
      <c r="D367" s="36"/>
      <c r="E367" s="36"/>
      <c r="F367" s="36"/>
      <c r="G367" s="156"/>
      <c r="H367" s="156"/>
      <c r="I367" s="274"/>
      <c r="J367" s="15"/>
    </row>
    <row r="368" spans="1:11" s="9" customFormat="1" ht="30" customHeight="1">
      <c r="A368" s="53" t="s">
        <v>16</v>
      </c>
      <c r="B368" s="37">
        <f>C368*1.33</f>
        <v>45.22</v>
      </c>
      <c r="C368" s="37">
        <v>34</v>
      </c>
      <c r="D368" s="36"/>
      <c r="E368" s="36"/>
      <c r="F368" s="36"/>
      <c r="G368" s="36"/>
      <c r="H368" s="36"/>
      <c r="I368" s="274"/>
      <c r="J368" s="15"/>
      <c r="K368" s="335"/>
    </row>
    <row r="369" spans="1:11" s="9" customFormat="1" ht="30" customHeight="1">
      <c r="A369" s="124" t="s">
        <v>171</v>
      </c>
      <c r="B369" s="37"/>
      <c r="C369" s="37">
        <v>32</v>
      </c>
      <c r="D369" s="36"/>
      <c r="E369" s="36"/>
      <c r="F369" s="37"/>
      <c r="G369" s="36"/>
      <c r="H369" s="36"/>
      <c r="I369" s="274"/>
      <c r="J369" s="15"/>
      <c r="K369" s="335"/>
    </row>
    <row r="370" spans="1:11" s="9" customFormat="1" ht="30" customHeight="1">
      <c r="A370" s="53" t="s">
        <v>98</v>
      </c>
      <c r="B370" s="37">
        <v>8</v>
      </c>
      <c r="C370" s="37">
        <v>6</v>
      </c>
      <c r="D370" s="36"/>
      <c r="E370" s="36"/>
      <c r="F370" s="36"/>
      <c r="G370" s="36"/>
      <c r="H370" s="36"/>
      <c r="I370" s="274"/>
      <c r="J370" s="15"/>
      <c r="K370" s="335"/>
    </row>
    <row r="371" spans="1:11" s="9" customFormat="1" ht="30" customHeight="1">
      <c r="A371" s="53" t="s">
        <v>120</v>
      </c>
      <c r="B371" s="41">
        <f>C371*1.28</f>
        <v>0.64</v>
      </c>
      <c r="C371" s="41">
        <v>0.5</v>
      </c>
      <c r="D371" s="36"/>
      <c r="E371" s="36"/>
      <c r="F371" s="36"/>
      <c r="G371" s="36"/>
      <c r="H371" s="36"/>
      <c r="I371" s="274"/>
      <c r="J371" s="15"/>
      <c r="K371" s="335"/>
    </row>
    <row r="372" spans="1:11" s="9" customFormat="1" ht="30" customHeight="1">
      <c r="A372" s="53" t="s">
        <v>11</v>
      </c>
      <c r="B372" s="37">
        <v>3</v>
      </c>
      <c r="C372" s="37">
        <v>3</v>
      </c>
      <c r="D372" s="36"/>
      <c r="E372" s="36"/>
      <c r="F372" s="36"/>
      <c r="G372" s="156"/>
      <c r="H372" s="156"/>
      <c r="I372" s="274"/>
      <c r="J372" s="15"/>
      <c r="K372" s="335"/>
    </row>
    <row r="373" spans="1:11" s="9" customFormat="1" ht="30" customHeight="1">
      <c r="A373" s="486" t="s">
        <v>499</v>
      </c>
      <c r="B373" s="486"/>
      <c r="C373" s="486"/>
      <c r="D373" s="21" t="s">
        <v>492</v>
      </c>
      <c r="E373" s="44">
        <v>4.5</v>
      </c>
      <c r="F373" s="44">
        <v>8.9</v>
      </c>
      <c r="G373" s="44">
        <v>12.5</v>
      </c>
      <c r="H373" s="43">
        <f>E373*4+F373*9+G373*4</f>
        <v>148.10000000000002</v>
      </c>
      <c r="I373" s="235" t="s">
        <v>500</v>
      </c>
      <c r="J373" s="15"/>
      <c r="K373" s="335"/>
    </row>
    <row r="374" spans="1:11" s="9" customFormat="1" ht="30" customHeight="1">
      <c r="A374" s="86" t="s">
        <v>88</v>
      </c>
      <c r="B374" s="48">
        <f>C374*1.36</f>
        <v>43.52</v>
      </c>
      <c r="C374" s="35">
        <v>32</v>
      </c>
      <c r="D374" s="5"/>
      <c r="E374" s="95"/>
      <c r="F374" s="95"/>
      <c r="G374" s="95"/>
      <c r="H374" s="296"/>
      <c r="I374" s="274"/>
      <c r="J374" s="15"/>
      <c r="K374" s="335"/>
    </row>
    <row r="375" spans="1:11" s="9" customFormat="1" ht="30" customHeight="1">
      <c r="A375" s="86" t="s">
        <v>89</v>
      </c>
      <c r="B375" s="48">
        <f>C375*1.18</f>
        <v>37.76</v>
      </c>
      <c r="C375" s="35">
        <v>32</v>
      </c>
      <c r="D375" s="5"/>
      <c r="E375" s="95"/>
      <c r="F375" s="95"/>
      <c r="G375" s="95"/>
      <c r="H375" s="296"/>
      <c r="I375" s="274"/>
      <c r="J375" s="15"/>
      <c r="K375" s="335"/>
    </row>
    <row r="376" spans="1:11" s="9" customFormat="1" ht="30" customHeight="1">
      <c r="A376" s="51" t="s">
        <v>12</v>
      </c>
      <c r="B376" s="35">
        <f>C376*1.33</f>
        <v>50.540000000000006</v>
      </c>
      <c r="C376" s="37">
        <v>38</v>
      </c>
      <c r="D376" s="5"/>
      <c r="E376" s="95"/>
      <c r="F376" s="95"/>
      <c r="G376" s="95"/>
      <c r="H376" s="296"/>
      <c r="I376" s="274"/>
      <c r="J376" s="15"/>
      <c r="K376" s="335"/>
    </row>
    <row r="377" spans="1:11" s="9" customFormat="1" ht="30" customHeight="1">
      <c r="A377" s="51" t="s">
        <v>13</v>
      </c>
      <c r="B377" s="35">
        <f>C377*1.43</f>
        <v>54.339999999999996</v>
      </c>
      <c r="C377" s="37">
        <v>38</v>
      </c>
      <c r="D377" s="5"/>
      <c r="E377" s="95"/>
      <c r="F377" s="95"/>
      <c r="G377" s="95"/>
      <c r="H377" s="296"/>
      <c r="I377" s="274"/>
      <c r="J377" s="15"/>
      <c r="K377" s="335"/>
    </row>
    <row r="378" spans="1:11" s="9" customFormat="1" ht="30" customHeight="1">
      <c r="A378" s="53" t="s">
        <v>14</v>
      </c>
      <c r="B378" s="35">
        <f>C378*1.54</f>
        <v>58.52</v>
      </c>
      <c r="C378" s="37">
        <v>38</v>
      </c>
      <c r="D378" s="5"/>
      <c r="E378" s="95"/>
      <c r="F378" s="95"/>
      <c r="G378" s="95"/>
      <c r="H378" s="296"/>
      <c r="I378" s="274"/>
      <c r="J378" s="15"/>
      <c r="K378" s="335"/>
    </row>
    <row r="379" spans="1:11" ht="30" customHeight="1">
      <c r="A379" s="53" t="s">
        <v>15</v>
      </c>
      <c r="B379" s="35">
        <f>C379*1.67</f>
        <v>63.459999999999994</v>
      </c>
      <c r="C379" s="37">
        <v>38</v>
      </c>
      <c r="D379" s="5"/>
      <c r="E379" s="95"/>
      <c r="F379" s="95"/>
      <c r="G379" s="95"/>
      <c r="H379" s="296"/>
      <c r="I379" s="274"/>
      <c r="J379" s="15"/>
      <c r="K379" s="339"/>
    </row>
    <row r="380" spans="1:11" ht="30" customHeight="1">
      <c r="A380" s="51" t="s">
        <v>416</v>
      </c>
      <c r="B380" s="35">
        <f>C380*1.82</f>
        <v>27.3</v>
      </c>
      <c r="C380" s="5">
        <v>15</v>
      </c>
      <c r="D380" s="5"/>
      <c r="E380" s="95"/>
      <c r="F380" s="95"/>
      <c r="G380" s="95"/>
      <c r="H380" s="296"/>
      <c r="I380" s="274"/>
      <c r="J380" s="15"/>
      <c r="K380" s="339"/>
    </row>
    <row r="381" spans="1:11" ht="30" customHeight="1">
      <c r="A381" s="51" t="s">
        <v>18</v>
      </c>
      <c r="B381" s="37">
        <f>C381*1.19</f>
        <v>21.419999999999998</v>
      </c>
      <c r="C381" s="5">
        <v>18</v>
      </c>
      <c r="D381" s="247"/>
      <c r="E381" s="85"/>
      <c r="F381" s="85"/>
      <c r="G381" s="85"/>
      <c r="H381" s="258"/>
      <c r="I381" s="274"/>
      <c r="J381" s="15"/>
      <c r="K381" s="339"/>
    </row>
    <row r="382" spans="1:11" ht="30" customHeight="1">
      <c r="A382" s="51" t="s">
        <v>19</v>
      </c>
      <c r="B382" s="35">
        <v>5</v>
      </c>
      <c r="C382" s="35">
        <v>5</v>
      </c>
      <c r="D382" s="247"/>
      <c r="E382" s="85"/>
      <c r="F382" s="85"/>
      <c r="G382" s="85"/>
      <c r="H382" s="258"/>
      <c r="I382" s="274"/>
      <c r="J382" s="15"/>
      <c r="K382" s="339"/>
    </row>
    <row r="383" spans="1:11" ht="30" customHeight="1">
      <c r="A383" s="53" t="s">
        <v>417</v>
      </c>
      <c r="B383" s="35">
        <f>1.54*C383</f>
        <v>15.4</v>
      </c>
      <c r="C383" s="35">
        <v>10</v>
      </c>
      <c r="D383" s="74"/>
      <c r="E383" s="95"/>
      <c r="F383" s="95"/>
      <c r="G383" s="94"/>
      <c r="H383" s="247"/>
      <c r="I383" s="274"/>
      <c r="J383" s="15"/>
      <c r="K383" s="339"/>
    </row>
    <row r="384" spans="1:11" ht="30" customHeight="1">
      <c r="A384" s="56" t="s">
        <v>54</v>
      </c>
      <c r="B384" s="35">
        <v>3</v>
      </c>
      <c r="C384" s="35">
        <v>3</v>
      </c>
      <c r="D384" s="74"/>
      <c r="E384" s="95"/>
      <c r="F384" s="95"/>
      <c r="G384" s="94"/>
      <c r="H384" s="247"/>
      <c r="I384" s="281"/>
      <c r="J384" s="15"/>
      <c r="K384" s="339"/>
    </row>
    <row r="385" spans="1:12" s="9" customFormat="1" ht="30" customHeight="1">
      <c r="A385" s="57" t="s">
        <v>57</v>
      </c>
      <c r="B385" s="35">
        <v>5</v>
      </c>
      <c r="C385" s="35">
        <v>5</v>
      </c>
      <c r="D385" s="74"/>
      <c r="E385" s="95"/>
      <c r="F385" s="95"/>
      <c r="G385" s="94"/>
      <c r="H385" s="247"/>
      <c r="I385" s="281"/>
      <c r="J385" s="15"/>
      <c r="K385" s="339"/>
      <c r="L385" s="61"/>
    </row>
    <row r="386" spans="1:12" s="9" customFormat="1" ht="30" customHeight="1">
      <c r="A386" s="53" t="s">
        <v>73</v>
      </c>
      <c r="B386" s="40">
        <v>0.2</v>
      </c>
      <c r="C386" s="40">
        <v>0.2</v>
      </c>
      <c r="D386" s="237"/>
      <c r="E386" s="85"/>
      <c r="F386" s="85"/>
      <c r="G386" s="85"/>
      <c r="H386" s="258"/>
      <c r="I386" s="274"/>
      <c r="J386" s="15"/>
      <c r="K386" s="339"/>
      <c r="L386" s="61"/>
    </row>
    <row r="387" spans="1:11" s="9" customFormat="1" ht="30" customHeight="1">
      <c r="A387" s="482" t="s">
        <v>491</v>
      </c>
      <c r="B387" s="482"/>
      <c r="C387" s="482"/>
      <c r="D387" s="23" t="s">
        <v>240</v>
      </c>
      <c r="E387" s="110">
        <v>11.8</v>
      </c>
      <c r="F387" s="110">
        <v>12.5</v>
      </c>
      <c r="G387" s="110">
        <v>9.1</v>
      </c>
      <c r="H387" s="256">
        <f>E387*4+F387*9+G387*4</f>
        <v>196.1</v>
      </c>
      <c r="I387" s="241" t="s">
        <v>487</v>
      </c>
      <c r="K387" s="335"/>
    </row>
    <row r="388" spans="1:11" s="9" customFormat="1" ht="30" customHeight="1">
      <c r="A388" s="86" t="s">
        <v>451</v>
      </c>
      <c r="B388" s="48">
        <f>C388*1.17</f>
        <v>39.78</v>
      </c>
      <c r="C388" s="87">
        <v>34</v>
      </c>
      <c r="D388" s="23"/>
      <c r="E388" s="110"/>
      <c r="F388" s="110"/>
      <c r="G388" s="110"/>
      <c r="H388" s="256"/>
      <c r="I388" s="241"/>
      <c r="K388" s="335"/>
    </row>
    <row r="389" spans="1:11" s="9" customFormat="1" ht="30" customHeight="1">
      <c r="A389" s="115" t="s">
        <v>88</v>
      </c>
      <c r="B389" s="48">
        <f>C389*1.36</f>
        <v>46.24</v>
      </c>
      <c r="C389" s="87">
        <v>34</v>
      </c>
      <c r="D389" s="23"/>
      <c r="E389" s="41"/>
      <c r="F389" s="41"/>
      <c r="G389" s="41"/>
      <c r="H389" s="37"/>
      <c r="I389" s="41"/>
      <c r="K389" s="335"/>
    </row>
    <row r="390" spans="1:11" ht="30" customHeight="1">
      <c r="A390" s="86" t="s">
        <v>89</v>
      </c>
      <c r="B390" s="48">
        <f>C390*1.18</f>
        <v>40.12</v>
      </c>
      <c r="C390" s="296">
        <v>34</v>
      </c>
      <c r="D390" s="23"/>
      <c r="E390" s="41"/>
      <c r="F390" s="41"/>
      <c r="G390" s="41"/>
      <c r="H390" s="37"/>
      <c r="I390" s="290"/>
      <c r="J390" s="9"/>
      <c r="K390" s="335"/>
    </row>
    <row r="391" spans="1:12" s="2" customFormat="1" ht="30" customHeight="1">
      <c r="A391" s="467" t="s">
        <v>10</v>
      </c>
      <c r="B391" s="296">
        <v>16</v>
      </c>
      <c r="C391" s="296">
        <v>16</v>
      </c>
      <c r="D391" s="23"/>
      <c r="E391" s="41"/>
      <c r="F391" s="41"/>
      <c r="G391" s="41"/>
      <c r="H391" s="37"/>
      <c r="I391" s="290"/>
      <c r="J391" s="9"/>
      <c r="K391" s="335"/>
      <c r="L391" s="61"/>
    </row>
    <row r="392" spans="1:12" s="2" customFormat="1" ht="30" customHeight="1">
      <c r="A392" s="451" t="s">
        <v>488</v>
      </c>
      <c r="B392" s="296">
        <v>11</v>
      </c>
      <c r="C392" s="296">
        <v>11</v>
      </c>
      <c r="D392" s="23"/>
      <c r="E392" s="41"/>
      <c r="F392" s="41"/>
      <c r="G392" s="41"/>
      <c r="H392" s="37"/>
      <c r="I392" s="290"/>
      <c r="J392" s="9"/>
      <c r="K392" s="335"/>
      <c r="L392" s="61"/>
    </row>
    <row r="393" spans="1:12" s="2" customFormat="1" ht="30" customHeight="1">
      <c r="A393" s="468" t="s">
        <v>18</v>
      </c>
      <c r="B393" s="108">
        <f>C393*1.19</f>
        <v>8.33</v>
      </c>
      <c r="C393" s="469">
        <v>7</v>
      </c>
      <c r="D393" s="23"/>
      <c r="E393" s="41"/>
      <c r="F393" s="41"/>
      <c r="G393" s="41"/>
      <c r="H393" s="37"/>
      <c r="I393" s="290"/>
      <c r="J393" s="9"/>
      <c r="K393" s="335"/>
      <c r="L393" s="61"/>
    </row>
    <row r="394" spans="1:12" s="2" customFormat="1" ht="30" customHeight="1">
      <c r="A394" s="451" t="s">
        <v>86</v>
      </c>
      <c r="B394" s="95">
        <v>3.5</v>
      </c>
      <c r="C394" s="95">
        <v>3.5</v>
      </c>
      <c r="D394" s="23"/>
      <c r="E394" s="41"/>
      <c r="F394" s="41"/>
      <c r="G394" s="41"/>
      <c r="H394" s="37"/>
      <c r="I394" s="290"/>
      <c r="J394" s="9"/>
      <c r="K394" s="335"/>
      <c r="L394" s="61"/>
    </row>
    <row r="395" spans="1:12" s="2" customFormat="1" ht="30" customHeight="1">
      <c r="A395" s="451" t="s">
        <v>120</v>
      </c>
      <c r="B395" s="95">
        <f>C395*1.28</f>
        <v>1.024</v>
      </c>
      <c r="C395" s="95">
        <v>0.8</v>
      </c>
      <c r="D395" s="23"/>
      <c r="E395" s="41"/>
      <c r="F395" s="41"/>
      <c r="G395" s="41"/>
      <c r="H395" s="37"/>
      <c r="I395" s="290"/>
      <c r="J395" s="9"/>
      <c r="K395" s="335"/>
      <c r="L395" s="61"/>
    </row>
    <row r="396" spans="1:12" s="2" customFormat="1" ht="30" customHeight="1">
      <c r="A396" s="57" t="s">
        <v>172</v>
      </c>
      <c r="B396" s="234">
        <v>9</v>
      </c>
      <c r="C396" s="234">
        <v>9</v>
      </c>
      <c r="D396" s="23"/>
      <c r="E396" s="41"/>
      <c r="F396" s="41"/>
      <c r="G396" s="41"/>
      <c r="H396" s="37"/>
      <c r="I396" s="41"/>
      <c r="J396" s="9"/>
      <c r="K396" s="335"/>
      <c r="L396" s="61"/>
    </row>
    <row r="397" spans="1:12" s="2" customFormat="1" ht="30" customHeight="1">
      <c r="A397" s="468" t="s">
        <v>11</v>
      </c>
      <c r="B397" s="470">
        <v>2</v>
      </c>
      <c r="C397" s="469">
        <v>2</v>
      </c>
      <c r="D397" s="23"/>
      <c r="E397" s="41"/>
      <c r="F397" s="41"/>
      <c r="G397" s="41"/>
      <c r="H397" s="37"/>
      <c r="I397" s="290"/>
      <c r="J397" s="9"/>
      <c r="K397" s="335"/>
      <c r="L397" s="61"/>
    </row>
    <row r="398" spans="1:12" s="2" customFormat="1" ht="30" customHeight="1">
      <c r="A398" s="53" t="s">
        <v>37</v>
      </c>
      <c r="B398" s="87">
        <v>5</v>
      </c>
      <c r="C398" s="87">
        <v>5</v>
      </c>
      <c r="D398" s="296"/>
      <c r="E398" s="95"/>
      <c r="F398" s="95"/>
      <c r="G398" s="95"/>
      <c r="H398" s="87"/>
      <c r="I398" s="44"/>
      <c r="J398" s="9"/>
      <c r="K398" s="335"/>
      <c r="L398" s="61"/>
    </row>
    <row r="399" spans="1:12" s="2" customFormat="1" ht="30" customHeight="1">
      <c r="A399" s="494" t="s">
        <v>266</v>
      </c>
      <c r="B399" s="478"/>
      <c r="C399" s="478"/>
      <c r="D399" s="39">
        <v>150</v>
      </c>
      <c r="E399" s="44">
        <v>4.7</v>
      </c>
      <c r="F399" s="44">
        <v>4.8</v>
      </c>
      <c r="G399" s="44">
        <v>20.6</v>
      </c>
      <c r="H399" s="43">
        <f>E399*4+F399*9+G399*4</f>
        <v>144.4</v>
      </c>
      <c r="I399" s="240" t="s">
        <v>267</v>
      </c>
      <c r="J399" s="9"/>
      <c r="K399" s="335"/>
      <c r="L399" s="61"/>
    </row>
    <row r="400" spans="1:12" s="2" customFormat="1" ht="30" customHeight="1">
      <c r="A400" s="53" t="s">
        <v>80</v>
      </c>
      <c r="B400" s="37">
        <v>38</v>
      </c>
      <c r="C400" s="37">
        <v>38</v>
      </c>
      <c r="D400" s="36"/>
      <c r="E400" s="95"/>
      <c r="F400" s="95"/>
      <c r="G400" s="95"/>
      <c r="H400" s="296"/>
      <c r="I400" s="275"/>
      <c r="J400" s="9"/>
      <c r="K400" s="335"/>
      <c r="L400" s="61"/>
    </row>
    <row r="401" spans="1:12" s="2" customFormat="1" ht="30" customHeight="1">
      <c r="A401" s="52" t="s">
        <v>63</v>
      </c>
      <c r="B401" s="37">
        <v>121</v>
      </c>
      <c r="C401" s="37">
        <v>121</v>
      </c>
      <c r="D401" s="36"/>
      <c r="E401" s="95"/>
      <c r="F401" s="95"/>
      <c r="G401" s="95"/>
      <c r="H401" s="95"/>
      <c r="I401" s="275"/>
      <c r="J401" s="9"/>
      <c r="K401" s="335"/>
      <c r="L401" s="61"/>
    </row>
    <row r="402" spans="1:12" s="2" customFormat="1" ht="30" customHeight="1">
      <c r="A402" s="52" t="s">
        <v>19</v>
      </c>
      <c r="B402" s="24">
        <v>5</v>
      </c>
      <c r="C402" s="24">
        <v>5</v>
      </c>
      <c r="D402" s="36"/>
      <c r="E402" s="95"/>
      <c r="F402" s="95"/>
      <c r="G402" s="95"/>
      <c r="H402" s="296"/>
      <c r="I402" s="275"/>
      <c r="J402" s="9"/>
      <c r="K402" s="335"/>
      <c r="L402" s="61"/>
    </row>
    <row r="403" spans="1:11" s="9" customFormat="1" ht="30" customHeight="1">
      <c r="A403" s="356" t="s">
        <v>229</v>
      </c>
      <c r="B403" s="23">
        <v>200</v>
      </c>
      <c r="C403" s="23">
        <v>200</v>
      </c>
      <c r="D403" s="23">
        <v>200</v>
      </c>
      <c r="E403" s="44">
        <v>0.5</v>
      </c>
      <c r="F403" s="110">
        <v>0.1</v>
      </c>
      <c r="G403" s="110">
        <v>28</v>
      </c>
      <c r="H403" s="256">
        <f>G403*4+F403*9+E403*4</f>
        <v>114.9</v>
      </c>
      <c r="I403" s="261" t="s">
        <v>230</v>
      </c>
      <c r="K403" s="335"/>
    </row>
    <row r="404" spans="1:11" s="9" customFormat="1" ht="30" customHeight="1">
      <c r="A404" s="483" t="s">
        <v>70</v>
      </c>
      <c r="B404" s="483"/>
      <c r="C404" s="483"/>
      <c r="D404" s="483"/>
      <c r="E404" s="483"/>
      <c r="F404" s="483"/>
      <c r="G404" s="483"/>
      <c r="H404" s="483"/>
      <c r="I404" s="275"/>
      <c r="K404" s="335"/>
    </row>
    <row r="405" spans="1:11" s="9" customFormat="1" ht="30" customHeight="1">
      <c r="A405" s="482" t="s">
        <v>342</v>
      </c>
      <c r="B405" s="478"/>
      <c r="C405" s="478"/>
      <c r="D405" s="23">
        <v>200</v>
      </c>
      <c r="E405" s="44">
        <v>0.2</v>
      </c>
      <c r="F405" s="44">
        <v>0</v>
      </c>
      <c r="G405" s="44">
        <v>28.2</v>
      </c>
      <c r="H405" s="43">
        <f>G405*4+F405*9+E405*4</f>
        <v>113.6</v>
      </c>
      <c r="I405" s="276" t="s">
        <v>228</v>
      </c>
      <c r="K405" s="335"/>
    </row>
    <row r="406" spans="1:11" s="9" customFormat="1" ht="30" customHeight="1">
      <c r="A406" s="56" t="s">
        <v>165</v>
      </c>
      <c r="B406" s="25">
        <f>C406*1.14</f>
        <v>34.199999999999996</v>
      </c>
      <c r="C406" s="25">
        <v>30</v>
      </c>
      <c r="D406" s="23"/>
      <c r="E406" s="44"/>
      <c r="F406" s="44"/>
      <c r="G406" s="44"/>
      <c r="H406" s="294"/>
      <c r="I406" s="273"/>
      <c r="K406" s="335"/>
    </row>
    <row r="407" spans="1:9" ht="30" customHeight="1">
      <c r="A407" s="52" t="s">
        <v>174</v>
      </c>
      <c r="B407" s="181">
        <f>C407*1.06</f>
        <v>10.600000000000001</v>
      </c>
      <c r="C407" s="50">
        <v>10</v>
      </c>
      <c r="D407" s="23"/>
      <c r="E407" s="147"/>
      <c r="F407" s="147"/>
      <c r="G407" s="147"/>
      <c r="H407" s="265"/>
      <c r="I407" s="273"/>
    </row>
    <row r="408" spans="1:9" ht="30" customHeight="1">
      <c r="A408" s="52" t="s">
        <v>369</v>
      </c>
      <c r="B408" s="181">
        <f>C408*1.06</f>
        <v>10.600000000000001</v>
      </c>
      <c r="C408" s="50">
        <v>10</v>
      </c>
      <c r="D408" s="23"/>
      <c r="E408" s="147"/>
      <c r="F408" s="147"/>
      <c r="G408" s="147"/>
      <c r="H408" s="265"/>
      <c r="I408" s="273"/>
    </row>
    <row r="409" spans="1:11" s="9" customFormat="1" ht="30" customHeight="1">
      <c r="A409" s="52" t="s">
        <v>370</v>
      </c>
      <c r="B409" s="181">
        <f>C409*1.11</f>
        <v>11.100000000000001</v>
      </c>
      <c r="C409" s="50">
        <v>10</v>
      </c>
      <c r="D409" s="23"/>
      <c r="E409" s="147"/>
      <c r="F409" s="147"/>
      <c r="G409" s="147"/>
      <c r="H409" s="265"/>
      <c r="I409" s="273"/>
      <c r="K409" s="335"/>
    </row>
    <row r="410" spans="1:12" ht="30" customHeight="1">
      <c r="A410" s="53" t="s">
        <v>4</v>
      </c>
      <c r="B410" s="25">
        <v>20</v>
      </c>
      <c r="C410" s="25">
        <v>20</v>
      </c>
      <c r="D410" s="23"/>
      <c r="E410" s="44"/>
      <c r="F410" s="44"/>
      <c r="G410" s="44"/>
      <c r="H410" s="294"/>
      <c r="I410" s="277"/>
      <c r="J410" s="9"/>
      <c r="K410" s="335"/>
      <c r="L410" s="9"/>
    </row>
    <row r="411" spans="1:11" s="9" customFormat="1" ht="30" customHeight="1">
      <c r="A411" s="354" t="s">
        <v>20</v>
      </c>
      <c r="B411" s="25">
        <v>30</v>
      </c>
      <c r="C411" s="25">
        <v>30</v>
      </c>
      <c r="D411" s="39">
        <v>30</v>
      </c>
      <c r="E411" s="366">
        <v>1.4</v>
      </c>
      <c r="F411" s="366">
        <v>0.3</v>
      </c>
      <c r="G411" s="366">
        <v>13.1</v>
      </c>
      <c r="H411" s="367">
        <v>60.8</v>
      </c>
      <c r="I411" s="241"/>
      <c r="K411" s="335"/>
    </row>
    <row r="412" spans="1:11" s="9" customFormat="1" ht="30" customHeight="1">
      <c r="A412" s="477" t="s">
        <v>75</v>
      </c>
      <c r="B412" s="477"/>
      <c r="C412" s="477"/>
      <c r="D412" s="294">
        <v>30</v>
      </c>
      <c r="E412" s="44"/>
      <c r="F412" s="44"/>
      <c r="G412" s="44"/>
      <c r="H412" s="44"/>
      <c r="I412" s="274"/>
      <c r="K412" s="335"/>
    </row>
    <row r="413" spans="1:11" s="9" customFormat="1" ht="30" customHeight="1">
      <c r="A413" s="212" t="s">
        <v>26</v>
      </c>
      <c r="B413" s="36">
        <v>40</v>
      </c>
      <c r="C413" s="36">
        <v>40</v>
      </c>
      <c r="D413" s="23">
        <v>40</v>
      </c>
      <c r="E413" s="110">
        <v>1.4</v>
      </c>
      <c r="F413" s="110">
        <v>0.4</v>
      </c>
      <c r="G413" s="110">
        <v>18.8</v>
      </c>
      <c r="H413" s="256">
        <v>82</v>
      </c>
      <c r="I413" s="275"/>
      <c r="J413" s="15"/>
      <c r="K413" s="339"/>
    </row>
    <row r="414" spans="1:11" s="9" customFormat="1" ht="30" customHeight="1">
      <c r="A414" s="475" t="s">
        <v>24</v>
      </c>
      <c r="B414" s="475"/>
      <c r="C414" s="475"/>
      <c r="D414" s="475"/>
      <c r="E414" s="99">
        <f>E364+E298</f>
        <v>42.99999999999999</v>
      </c>
      <c r="F414" s="99">
        <f>F364+F298</f>
        <v>50.3</v>
      </c>
      <c r="G414" s="99">
        <f>G364+G298</f>
        <v>183</v>
      </c>
      <c r="H414" s="96">
        <f>H364+H298</f>
        <v>1356.1</v>
      </c>
      <c r="I414" s="274"/>
      <c r="J414" s="15"/>
      <c r="K414" s="339"/>
    </row>
    <row r="415" spans="1:11" ht="30" customHeight="1">
      <c r="A415" s="490" t="s">
        <v>44</v>
      </c>
      <c r="B415" s="490"/>
      <c r="C415" s="490"/>
      <c r="D415" s="490"/>
      <c r="E415" s="490"/>
      <c r="F415" s="490"/>
      <c r="G415" s="490"/>
      <c r="H415" s="490"/>
      <c r="I415" s="490"/>
      <c r="J415" s="70"/>
      <c r="K415" s="363"/>
    </row>
    <row r="416" spans="1:12" s="9" customFormat="1" ht="30" customHeight="1">
      <c r="A416" s="487" t="s">
        <v>0</v>
      </c>
      <c r="B416" s="476" t="s">
        <v>6</v>
      </c>
      <c r="C416" s="476" t="s">
        <v>7</v>
      </c>
      <c r="D416" s="487" t="s">
        <v>5</v>
      </c>
      <c r="E416" s="487"/>
      <c r="F416" s="487"/>
      <c r="G416" s="487"/>
      <c r="H416" s="487"/>
      <c r="I416" s="487"/>
      <c r="J416" s="15"/>
      <c r="K416" s="339"/>
      <c r="L416" s="61"/>
    </row>
    <row r="417" spans="1:11" ht="30" customHeight="1">
      <c r="A417" s="487"/>
      <c r="B417" s="476"/>
      <c r="C417" s="476"/>
      <c r="D417" s="138" t="s">
        <v>8</v>
      </c>
      <c r="E417" s="301" t="s">
        <v>1</v>
      </c>
      <c r="F417" s="301" t="s">
        <v>2</v>
      </c>
      <c r="G417" s="301" t="s">
        <v>9</v>
      </c>
      <c r="H417" s="300" t="s">
        <v>3</v>
      </c>
      <c r="I417" s="302" t="s">
        <v>199</v>
      </c>
      <c r="J417" s="70"/>
      <c r="K417" s="363"/>
    </row>
    <row r="418" spans="1:12" s="9" customFormat="1" ht="30" customHeight="1">
      <c r="A418" s="479" t="s">
        <v>109</v>
      </c>
      <c r="B418" s="479"/>
      <c r="C418" s="479"/>
      <c r="D418" s="263">
        <f>D419+D426+D429+D433</f>
        <v>510</v>
      </c>
      <c r="E418" s="99">
        <f>E429+E419+E426+E436+E433</f>
        <v>16.5</v>
      </c>
      <c r="F418" s="99">
        <f>F429+F419+F426+F436+F433</f>
        <v>16.099999999999998</v>
      </c>
      <c r="G418" s="99">
        <f>G429+G419+G426+G436+G433</f>
        <v>66.4</v>
      </c>
      <c r="H418" s="99">
        <f>H429+H419+H426+H436+H433</f>
        <v>480.2</v>
      </c>
      <c r="I418" s="274"/>
      <c r="J418" s="15"/>
      <c r="K418" s="339"/>
      <c r="L418" s="61"/>
    </row>
    <row r="419" spans="1:9" ht="30" customHeight="1">
      <c r="A419" s="477" t="s">
        <v>224</v>
      </c>
      <c r="B419" s="477"/>
      <c r="C419" s="477"/>
      <c r="D419" s="23">
        <v>100</v>
      </c>
      <c r="E419" s="44">
        <v>10.4</v>
      </c>
      <c r="F419" s="44">
        <v>9.2</v>
      </c>
      <c r="G419" s="44">
        <v>4</v>
      </c>
      <c r="H419" s="43">
        <f>E419*4+F419*9+G419*4</f>
        <v>140.4</v>
      </c>
      <c r="I419" s="276" t="s">
        <v>225</v>
      </c>
    </row>
    <row r="420" spans="1:9" ht="30" customHeight="1">
      <c r="A420" s="86" t="s">
        <v>88</v>
      </c>
      <c r="B420" s="48">
        <f>C420*1.36</f>
        <v>107.44000000000001</v>
      </c>
      <c r="C420" s="37">
        <v>79</v>
      </c>
      <c r="D420" s="36"/>
      <c r="E420" s="95"/>
      <c r="F420" s="95"/>
      <c r="G420" s="95"/>
      <c r="H420" s="296"/>
      <c r="I420" s="274"/>
    </row>
    <row r="421" spans="1:11" s="9" customFormat="1" ht="30" customHeight="1">
      <c r="A421" s="86" t="s">
        <v>89</v>
      </c>
      <c r="B421" s="48">
        <f>C421*1.18</f>
        <v>93.22</v>
      </c>
      <c r="C421" s="35">
        <f>C420</f>
        <v>79</v>
      </c>
      <c r="D421" s="237"/>
      <c r="E421" s="85"/>
      <c r="F421" s="85"/>
      <c r="G421" s="85"/>
      <c r="H421" s="258"/>
      <c r="I421" s="274"/>
      <c r="K421" s="335"/>
    </row>
    <row r="422" spans="1:11" s="9" customFormat="1" ht="30" customHeight="1">
      <c r="A422" s="53" t="s">
        <v>11</v>
      </c>
      <c r="B422" s="37">
        <v>5</v>
      </c>
      <c r="C422" s="37">
        <v>4.5</v>
      </c>
      <c r="D422" s="36"/>
      <c r="E422" s="95"/>
      <c r="F422" s="95"/>
      <c r="G422" s="95"/>
      <c r="H422" s="296"/>
      <c r="I422" s="274"/>
      <c r="K422" s="335"/>
    </row>
    <row r="423" spans="1:12" ht="30" customHeight="1">
      <c r="A423" s="53" t="s">
        <v>18</v>
      </c>
      <c r="B423" s="37">
        <f>C423*1.19</f>
        <v>11.899999999999999</v>
      </c>
      <c r="C423" s="36">
        <v>10</v>
      </c>
      <c r="D423" s="36"/>
      <c r="E423" s="95"/>
      <c r="F423" s="95"/>
      <c r="G423" s="95"/>
      <c r="H423" s="296"/>
      <c r="I423" s="274"/>
      <c r="K423" s="336" t="s">
        <v>44</v>
      </c>
      <c r="L423" s="9"/>
    </row>
    <row r="424" spans="1:12" ht="30" customHeight="1">
      <c r="A424" s="57" t="s">
        <v>54</v>
      </c>
      <c r="B424" s="36">
        <v>4</v>
      </c>
      <c r="C424" s="36">
        <v>4</v>
      </c>
      <c r="D424" s="36"/>
      <c r="E424" s="95"/>
      <c r="F424" s="95"/>
      <c r="G424" s="95"/>
      <c r="H424" s="296"/>
      <c r="I424" s="274"/>
      <c r="K424" s="322" t="s">
        <v>26</v>
      </c>
      <c r="L424" s="9">
        <f>D502+C436</f>
        <v>50</v>
      </c>
    </row>
    <row r="425" spans="1:12" ht="30" customHeight="1">
      <c r="A425" s="53" t="s">
        <v>21</v>
      </c>
      <c r="B425" s="36">
        <v>2.5</v>
      </c>
      <c r="C425" s="36">
        <v>2.5</v>
      </c>
      <c r="D425" s="36"/>
      <c r="E425" s="95"/>
      <c r="F425" s="44"/>
      <c r="G425" s="44"/>
      <c r="H425" s="294"/>
      <c r="I425" s="274"/>
      <c r="K425" s="322" t="s">
        <v>131</v>
      </c>
      <c r="L425" s="17">
        <f>C460+D500+C469</f>
        <v>95</v>
      </c>
    </row>
    <row r="426" spans="1:12" ht="30" customHeight="1">
      <c r="A426" s="482" t="s">
        <v>226</v>
      </c>
      <c r="B426" s="482"/>
      <c r="C426" s="482"/>
      <c r="D426" s="39">
        <v>180</v>
      </c>
      <c r="E426" s="92">
        <v>4.9</v>
      </c>
      <c r="F426" s="92">
        <v>6.6</v>
      </c>
      <c r="G426" s="92">
        <v>39.9</v>
      </c>
      <c r="H426" s="257">
        <f>G426*4+F426*9+E426*4</f>
        <v>238.6</v>
      </c>
      <c r="I426" s="276" t="s">
        <v>227</v>
      </c>
      <c r="K426" s="322" t="s">
        <v>161</v>
      </c>
      <c r="L426" s="17">
        <f>C425+C472</f>
        <v>8.5</v>
      </c>
    </row>
    <row r="427" spans="1:12" ht="30" customHeight="1">
      <c r="A427" s="52" t="s">
        <v>484</v>
      </c>
      <c r="B427" s="24">
        <v>65</v>
      </c>
      <c r="C427" s="24">
        <v>65</v>
      </c>
      <c r="D427" s="25"/>
      <c r="E427" s="91"/>
      <c r="F427" s="91"/>
      <c r="G427" s="108"/>
      <c r="H427" s="91"/>
      <c r="K427" s="322" t="s">
        <v>67</v>
      </c>
      <c r="L427" s="17">
        <f>C455</f>
        <v>16.666666666666668</v>
      </c>
    </row>
    <row r="428" spans="1:12" ht="30" customHeight="1">
      <c r="A428" s="52" t="s">
        <v>19</v>
      </c>
      <c r="B428" s="25">
        <v>6</v>
      </c>
      <c r="C428" s="25">
        <v>6</v>
      </c>
      <c r="D428" s="25"/>
      <c r="E428" s="91"/>
      <c r="F428" s="91"/>
      <c r="G428" s="91"/>
      <c r="H428" s="91"/>
      <c r="I428" s="274"/>
      <c r="K428" s="322" t="s">
        <v>66</v>
      </c>
      <c r="L428" s="17">
        <f>C427</f>
        <v>65</v>
      </c>
    </row>
    <row r="429" spans="1:12" ht="30" customHeight="1">
      <c r="A429" s="482" t="s">
        <v>384</v>
      </c>
      <c r="B429" s="482"/>
      <c r="C429" s="482"/>
      <c r="D429" s="23">
        <v>30</v>
      </c>
      <c r="E429" s="110">
        <v>0.3</v>
      </c>
      <c r="F429" s="110">
        <v>0.1</v>
      </c>
      <c r="G429" s="110">
        <v>1.2</v>
      </c>
      <c r="H429" s="256">
        <f>E429*4+F429*9+G429*4</f>
        <v>6.9</v>
      </c>
      <c r="I429" s="377" t="s">
        <v>234</v>
      </c>
      <c r="K429" s="322" t="s">
        <v>27</v>
      </c>
      <c r="L429" s="17">
        <f>C489+C451</f>
        <v>212</v>
      </c>
    </row>
    <row r="430" spans="1:12" s="9" customFormat="1" ht="30" customHeight="1">
      <c r="A430" s="56" t="s">
        <v>100</v>
      </c>
      <c r="B430" s="37">
        <f>C430*1.02</f>
        <v>30.6</v>
      </c>
      <c r="C430" s="60">
        <v>30</v>
      </c>
      <c r="D430" s="233"/>
      <c r="E430" s="110"/>
      <c r="F430" s="110"/>
      <c r="G430" s="110"/>
      <c r="H430" s="23"/>
      <c r="I430" s="287"/>
      <c r="K430" s="322" t="s">
        <v>210</v>
      </c>
      <c r="L430" s="17">
        <f>C456+C457+C439+C440+C423+C424+C494+C430</f>
        <v>141</v>
      </c>
    </row>
    <row r="431" spans="1:12" s="9" customFormat="1" ht="30" customHeight="1">
      <c r="A431" s="53" t="s">
        <v>101</v>
      </c>
      <c r="B431" s="37">
        <f>C431*1.18</f>
        <v>35.4</v>
      </c>
      <c r="C431" s="60">
        <v>30</v>
      </c>
      <c r="D431" s="233"/>
      <c r="E431" s="44"/>
      <c r="F431" s="44"/>
      <c r="G431" s="44"/>
      <c r="H431" s="44"/>
      <c r="I431" s="287"/>
      <c r="K431" s="322" t="s">
        <v>28</v>
      </c>
      <c r="L431" s="17">
        <f>C498</f>
        <v>25</v>
      </c>
    </row>
    <row r="432" spans="1:12" s="9" customFormat="1" ht="30" customHeight="1">
      <c r="A432" s="56" t="s">
        <v>115</v>
      </c>
      <c r="B432" s="90">
        <f>C432*1.82</f>
        <v>54.6</v>
      </c>
      <c r="C432" s="60">
        <v>30</v>
      </c>
      <c r="D432" s="233"/>
      <c r="E432" s="44"/>
      <c r="F432" s="44"/>
      <c r="G432" s="44"/>
      <c r="H432" s="44"/>
      <c r="I432" s="287"/>
      <c r="K432" s="322" t="s">
        <v>177</v>
      </c>
      <c r="L432" s="61"/>
    </row>
    <row r="433" spans="1:12" ht="30" customHeight="1">
      <c r="A433" s="484" t="s">
        <v>236</v>
      </c>
      <c r="B433" s="484"/>
      <c r="C433" s="484"/>
      <c r="D433" s="21">
        <v>200</v>
      </c>
      <c r="E433" s="21">
        <v>0.2</v>
      </c>
      <c r="F433" s="111">
        <v>0</v>
      </c>
      <c r="G433" s="21">
        <v>11.9</v>
      </c>
      <c r="H433" s="21">
        <v>53</v>
      </c>
      <c r="I433" s="276" t="s">
        <v>237</v>
      </c>
      <c r="K433" s="322" t="s">
        <v>211</v>
      </c>
      <c r="L433" s="359">
        <f>C499+C435</f>
        <v>27</v>
      </c>
    </row>
    <row r="434" spans="1:11" ht="30" customHeight="1">
      <c r="A434" s="51" t="s">
        <v>114</v>
      </c>
      <c r="B434" s="5">
        <v>1</v>
      </c>
      <c r="C434" s="5">
        <v>1</v>
      </c>
      <c r="D434" s="5"/>
      <c r="E434" s="5"/>
      <c r="F434" s="5"/>
      <c r="G434" s="5"/>
      <c r="H434" s="5"/>
      <c r="K434" s="322" t="s">
        <v>375</v>
      </c>
    </row>
    <row r="435" spans="1:11" s="9" customFormat="1" ht="30" customHeight="1">
      <c r="A435" s="51" t="s">
        <v>4</v>
      </c>
      <c r="B435" s="5">
        <v>12</v>
      </c>
      <c r="C435" s="5">
        <v>12</v>
      </c>
      <c r="D435" s="5"/>
      <c r="E435" s="5"/>
      <c r="F435" s="5"/>
      <c r="G435" s="43"/>
      <c r="H435" s="294"/>
      <c r="I435" s="275"/>
      <c r="K435" s="337" t="s">
        <v>29</v>
      </c>
    </row>
    <row r="436" spans="1:11" s="9" customFormat="1" ht="30" customHeight="1">
      <c r="A436" s="212" t="s">
        <v>26</v>
      </c>
      <c r="B436" s="36">
        <v>20</v>
      </c>
      <c r="C436" s="36">
        <v>20</v>
      </c>
      <c r="D436" s="23">
        <v>20</v>
      </c>
      <c r="E436" s="110">
        <v>0.7</v>
      </c>
      <c r="F436" s="110">
        <v>0.2</v>
      </c>
      <c r="G436" s="110">
        <v>9.4</v>
      </c>
      <c r="H436" s="256">
        <v>41.3</v>
      </c>
      <c r="I436" s="275"/>
      <c r="K436" s="322" t="s">
        <v>71</v>
      </c>
    </row>
    <row r="437" spans="1:11" s="9" customFormat="1" ht="30" customHeight="1">
      <c r="A437" s="475" t="s">
        <v>58</v>
      </c>
      <c r="B437" s="475"/>
      <c r="C437" s="475"/>
      <c r="D437" s="262">
        <f>D438+280+D462+D488+D497</f>
        <v>780</v>
      </c>
      <c r="E437" s="99">
        <f>E438+E448+E462+E488+E497+E500+E502</f>
        <v>25.005333333333333</v>
      </c>
      <c r="F437" s="99">
        <f>F438+F448+F462+F488+F497+F500+F502</f>
        <v>23.900000000000002</v>
      </c>
      <c r="G437" s="99">
        <f>G438+G448+G462+G488+G497+G500+G502</f>
        <v>120.07333333333332</v>
      </c>
      <c r="H437" s="96">
        <f>H438+H448+H462+H488+H497+H500+H502</f>
        <v>793.5813333333334</v>
      </c>
      <c r="I437" s="274"/>
      <c r="K437" s="322" t="s">
        <v>189</v>
      </c>
    </row>
    <row r="438" spans="1:11" s="9" customFormat="1" ht="30" customHeight="1">
      <c r="A438" s="509" t="s">
        <v>311</v>
      </c>
      <c r="B438" s="478"/>
      <c r="C438" s="478"/>
      <c r="D438" s="42">
        <v>60</v>
      </c>
      <c r="E438" s="145">
        <v>0.072</v>
      </c>
      <c r="F438" s="145">
        <v>3</v>
      </c>
      <c r="G438" s="145">
        <v>1.44</v>
      </c>
      <c r="H438" s="268">
        <f>G438*4+F438*9+E438*4</f>
        <v>33.047999999999995</v>
      </c>
      <c r="I438" s="276" t="s">
        <v>312</v>
      </c>
      <c r="K438" s="322" t="s">
        <v>190</v>
      </c>
    </row>
    <row r="439" spans="1:12" s="9" customFormat="1" ht="30" customHeight="1">
      <c r="A439" s="51" t="s">
        <v>112</v>
      </c>
      <c r="B439" s="90">
        <f>C439*1.82</f>
        <v>89.18</v>
      </c>
      <c r="C439" s="142">
        <v>49</v>
      </c>
      <c r="D439" s="42"/>
      <c r="E439" s="140"/>
      <c r="F439" s="140"/>
      <c r="G439" s="140"/>
      <c r="H439" s="140"/>
      <c r="I439" s="274"/>
      <c r="K439" s="338" t="s">
        <v>30</v>
      </c>
      <c r="L439" s="9">
        <f>C434</f>
        <v>1</v>
      </c>
    </row>
    <row r="440" spans="1:12" ht="30" customHeight="1">
      <c r="A440" s="51" t="s">
        <v>18</v>
      </c>
      <c r="B440" s="144">
        <f>C440*1.19</f>
        <v>10.709999999999999</v>
      </c>
      <c r="C440" s="142">
        <v>9</v>
      </c>
      <c r="D440" s="42"/>
      <c r="E440" s="140"/>
      <c r="F440" s="140"/>
      <c r="G440" s="140"/>
      <c r="H440" s="140"/>
      <c r="I440" s="274"/>
      <c r="K440" s="322" t="s">
        <v>179</v>
      </c>
      <c r="L440" s="62">
        <f>C449+C420</f>
        <v>95</v>
      </c>
    </row>
    <row r="441" spans="1:12" s="9" customFormat="1" ht="30" customHeight="1">
      <c r="A441" s="496" t="s">
        <v>379</v>
      </c>
      <c r="B441" s="496"/>
      <c r="C441" s="496"/>
      <c r="D441" s="42"/>
      <c r="E441" s="140"/>
      <c r="F441" s="140"/>
      <c r="G441" s="140"/>
      <c r="H441" s="140"/>
      <c r="I441" s="274"/>
      <c r="K441" s="322" t="s">
        <v>181</v>
      </c>
      <c r="L441" s="17">
        <f>C463</f>
        <v>72</v>
      </c>
    </row>
    <row r="442" spans="1:12" ht="30" customHeight="1">
      <c r="A442" s="51" t="s">
        <v>11</v>
      </c>
      <c r="B442" s="142">
        <v>3</v>
      </c>
      <c r="C442" s="142">
        <v>3</v>
      </c>
      <c r="D442" s="42"/>
      <c r="E442" s="140"/>
      <c r="F442" s="140"/>
      <c r="G442" s="140"/>
      <c r="H442" s="140"/>
      <c r="I442" s="274"/>
      <c r="K442" s="322" t="s">
        <v>180</v>
      </c>
      <c r="L442" s="17"/>
    </row>
    <row r="443" spans="1:12" s="9" customFormat="1" ht="30" customHeight="1">
      <c r="A443" s="488" t="s">
        <v>70</v>
      </c>
      <c r="B443" s="488"/>
      <c r="C443" s="488"/>
      <c r="D443" s="488"/>
      <c r="E443" s="488"/>
      <c r="F443" s="488"/>
      <c r="G443" s="488"/>
      <c r="H443" s="488"/>
      <c r="I443" s="275"/>
      <c r="K443" s="322" t="s">
        <v>182</v>
      </c>
      <c r="L443" s="17"/>
    </row>
    <row r="444" spans="1:12" s="9" customFormat="1" ht="30" customHeight="1">
      <c r="A444" s="482" t="s">
        <v>419</v>
      </c>
      <c r="B444" s="482"/>
      <c r="C444" s="482"/>
      <c r="D444" s="23">
        <v>60</v>
      </c>
      <c r="E444" s="110">
        <v>0.4</v>
      </c>
      <c r="F444" s="110">
        <v>3</v>
      </c>
      <c r="G444" s="110">
        <v>1.3</v>
      </c>
      <c r="H444" s="256">
        <f>G444*4+F444*9+E444*4</f>
        <v>33.800000000000004</v>
      </c>
      <c r="I444" s="261" t="s">
        <v>363</v>
      </c>
      <c r="K444" s="327" t="s">
        <v>82</v>
      </c>
      <c r="L444" s="9">
        <f>C464</f>
        <v>14</v>
      </c>
    </row>
    <row r="445" spans="1:11" s="9" customFormat="1" ht="30" customHeight="1">
      <c r="A445" s="56" t="s">
        <v>364</v>
      </c>
      <c r="B445" s="37">
        <f>C445*1.05</f>
        <v>60.900000000000006</v>
      </c>
      <c r="C445" s="36">
        <v>58</v>
      </c>
      <c r="D445" s="36"/>
      <c r="E445" s="36"/>
      <c r="F445" s="36"/>
      <c r="G445" s="36"/>
      <c r="H445" s="36"/>
      <c r="I445" s="283"/>
      <c r="K445" s="329" t="s">
        <v>183</v>
      </c>
    </row>
    <row r="446" spans="1:11" ht="30" customHeight="1">
      <c r="A446" s="56" t="s">
        <v>116</v>
      </c>
      <c r="B446" s="37">
        <f>C446*1.02</f>
        <v>59.160000000000004</v>
      </c>
      <c r="C446" s="37">
        <v>58</v>
      </c>
      <c r="D446" s="375"/>
      <c r="E446" s="375"/>
      <c r="F446" s="375"/>
      <c r="G446" s="375"/>
      <c r="H446" s="375"/>
      <c r="I446" s="283"/>
      <c r="J446" s="9"/>
      <c r="K446" s="322" t="s">
        <v>184</v>
      </c>
    </row>
    <row r="447" spans="1:11" ht="30" customHeight="1">
      <c r="A447" s="56" t="s">
        <v>123</v>
      </c>
      <c r="B447" s="36">
        <v>3</v>
      </c>
      <c r="C447" s="36">
        <v>3</v>
      </c>
      <c r="D447" s="36"/>
      <c r="E447" s="41"/>
      <c r="F447" s="41"/>
      <c r="G447" s="41"/>
      <c r="H447" s="36"/>
      <c r="I447" s="283"/>
      <c r="J447" s="9"/>
      <c r="K447" s="322" t="s">
        <v>31</v>
      </c>
    </row>
    <row r="448" spans="1:12" ht="30" customHeight="1">
      <c r="A448" s="510" t="s">
        <v>313</v>
      </c>
      <c r="B448" s="510"/>
      <c r="C448" s="269"/>
      <c r="D448" s="21" t="s">
        <v>68</v>
      </c>
      <c r="E448" s="294">
        <v>9.1</v>
      </c>
      <c r="F448" s="294">
        <v>4.8</v>
      </c>
      <c r="G448" s="294">
        <v>30.2</v>
      </c>
      <c r="H448" s="43">
        <f>G448*4+F448*9+E448*4</f>
        <v>200.4</v>
      </c>
      <c r="I448" s="276" t="s">
        <v>314</v>
      </c>
      <c r="K448" s="322" t="s">
        <v>185</v>
      </c>
      <c r="L448" s="61">
        <f>C471</f>
        <v>4</v>
      </c>
    </row>
    <row r="449" spans="1:12" ht="30" customHeight="1">
      <c r="A449" s="86" t="s">
        <v>88</v>
      </c>
      <c r="B449" s="48">
        <f>C449*1.36</f>
        <v>21.76</v>
      </c>
      <c r="C449" s="5">
        <v>16</v>
      </c>
      <c r="D449" s="31"/>
      <c r="E449" s="85"/>
      <c r="F449" s="85"/>
      <c r="G449" s="85"/>
      <c r="H449" s="258"/>
      <c r="I449" s="274"/>
      <c r="K449" s="322" t="s">
        <v>32</v>
      </c>
      <c r="L449" s="62">
        <f>C459+C495+C428</f>
        <v>16</v>
      </c>
    </row>
    <row r="450" spans="1:12" ht="30" customHeight="1">
      <c r="A450" s="86" t="s">
        <v>89</v>
      </c>
      <c r="B450" s="48">
        <f>C450*1.18</f>
        <v>18.88</v>
      </c>
      <c r="C450" s="35">
        <f>C449</f>
        <v>16</v>
      </c>
      <c r="D450" s="31"/>
      <c r="E450" s="85"/>
      <c r="F450" s="85"/>
      <c r="G450" s="85"/>
      <c r="H450" s="258"/>
      <c r="K450" s="322" t="s">
        <v>33</v>
      </c>
      <c r="L450" s="62">
        <f>C442+C422+C473</f>
        <v>10.5</v>
      </c>
    </row>
    <row r="451" spans="1:12" ht="30" customHeight="1">
      <c r="A451" s="51" t="s">
        <v>12</v>
      </c>
      <c r="B451" s="35">
        <f>C451*1.33</f>
        <v>82.46000000000001</v>
      </c>
      <c r="C451" s="35">
        <v>62</v>
      </c>
      <c r="D451" s="31"/>
      <c r="E451" s="85"/>
      <c r="F451" s="85"/>
      <c r="G451" s="85"/>
      <c r="H451" s="258"/>
      <c r="I451" s="274"/>
      <c r="K451" s="322" t="s">
        <v>186</v>
      </c>
      <c r="L451" s="62">
        <f>C470</f>
        <v>4</v>
      </c>
    </row>
    <row r="452" spans="1:11" s="9" customFormat="1" ht="30" customHeight="1">
      <c r="A452" s="51" t="s">
        <v>13</v>
      </c>
      <c r="B452" s="35">
        <f>C452*1.43</f>
        <v>88.66</v>
      </c>
      <c r="C452" s="35">
        <v>62</v>
      </c>
      <c r="D452" s="31"/>
      <c r="E452" s="85"/>
      <c r="F452" s="85"/>
      <c r="G452" s="85"/>
      <c r="H452" s="258"/>
      <c r="I452" s="274"/>
      <c r="K452" s="322" t="s">
        <v>352</v>
      </c>
    </row>
    <row r="453" spans="1:12" s="9" customFormat="1" ht="30" customHeight="1">
      <c r="A453" s="53" t="s">
        <v>14</v>
      </c>
      <c r="B453" s="35">
        <f>C453*1.54</f>
        <v>95.48</v>
      </c>
      <c r="C453" s="35">
        <v>62</v>
      </c>
      <c r="D453" s="31"/>
      <c r="E453" s="85"/>
      <c r="F453" s="85"/>
      <c r="G453" s="85"/>
      <c r="H453" s="258"/>
      <c r="I453" s="274"/>
      <c r="K453" s="322" t="s">
        <v>188</v>
      </c>
      <c r="L453" s="15">
        <v>1.5</v>
      </c>
    </row>
    <row r="454" spans="1:12" s="9" customFormat="1" ht="30" customHeight="1">
      <c r="A454" s="53" t="s">
        <v>15</v>
      </c>
      <c r="B454" s="35">
        <f>C454*1.67</f>
        <v>103.53999999999999</v>
      </c>
      <c r="C454" s="35">
        <v>62</v>
      </c>
      <c r="D454" s="31"/>
      <c r="E454" s="85"/>
      <c r="F454" s="85"/>
      <c r="G454" s="85"/>
      <c r="H454" s="258"/>
      <c r="I454" s="274"/>
      <c r="K454" s="322" t="s">
        <v>187</v>
      </c>
      <c r="L454" s="15">
        <v>1</v>
      </c>
    </row>
    <row r="455" spans="1:11" s="9" customFormat="1" ht="30" customHeight="1">
      <c r="A455" s="51" t="s">
        <v>60</v>
      </c>
      <c r="B455" s="5">
        <v>17.2</v>
      </c>
      <c r="C455" s="35">
        <v>16.666666666666668</v>
      </c>
      <c r="D455" s="31"/>
      <c r="E455" s="85"/>
      <c r="F455" s="85"/>
      <c r="G455" s="85"/>
      <c r="H455" s="258"/>
      <c r="I455" s="274"/>
      <c r="K455" s="335"/>
    </row>
    <row r="456" spans="1:11" s="9" customFormat="1" ht="30" customHeight="1">
      <c r="A456" s="51" t="s">
        <v>18</v>
      </c>
      <c r="B456" s="41">
        <f>C456*1.19</f>
        <v>15.469999999999999</v>
      </c>
      <c r="C456" s="35">
        <v>13</v>
      </c>
      <c r="D456" s="31"/>
      <c r="E456" s="85"/>
      <c r="F456" s="85"/>
      <c r="G456" s="85"/>
      <c r="H456" s="258"/>
      <c r="I456" s="274"/>
      <c r="K456" s="335"/>
    </row>
    <row r="457" spans="1:11" s="9" customFormat="1" ht="30" customHeight="1">
      <c r="A457" s="51" t="s">
        <v>61</v>
      </c>
      <c r="B457" s="40">
        <f>C457*1.25</f>
        <v>12.5</v>
      </c>
      <c r="C457" s="35">
        <v>10</v>
      </c>
      <c r="D457" s="31"/>
      <c r="E457" s="85"/>
      <c r="F457" s="85"/>
      <c r="G457" s="85"/>
      <c r="H457" s="258"/>
      <c r="I457" s="274"/>
      <c r="K457" s="335"/>
    </row>
    <row r="458" spans="1:11" s="9" customFormat="1" ht="30" customHeight="1">
      <c r="A458" s="51" t="s">
        <v>16</v>
      </c>
      <c r="B458" s="40">
        <f>C458*1.33</f>
        <v>13.3</v>
      </c>
      <c r="C458" s="35">
        <v>10</v>
      </c>
      <c r="D458" s="31"/>
      <c r="E458" s="85"/>
      <c r="F458" s="85"/>
      <c r="G458" s="85"/>
      <c r="H458" s="258"/>
      <c r="I458" s="274"/>
      <c r="K458" s="335"/>
    </row>
    <row r="459" spans="1:12" s="9" customFormat="1" ht="30" customHeight="1">
      <c r="A459" s="53" t="s">
        <v>19</v>
      </c>
      <c r="B459" s="35">
        <v>5</v>
      </c>
      <c r="C459" s="35">
        <v>5</v>
      </c>
      <c r="D459" s="31"/>
      <c r="E459" s="85"/>
      <c r="F459" s="85"/>
      <c r="G459" s="85"/>
      <c r="H459" s="258"/>
      <c r="I459" s="274"/>
      <c r="K459" s="335"/>
      <c r="L459" s="15"/>
    </row>
    <row r="460" spans="1:11" s="9" customFormat="1" ht="30" customHeight="1">
      <c r="A460" s="53" t="s">
        <v>10</v>
      </c>
      <c r="B460" s="35">
        <v>37</v>
      </c>
      <c r="C460" s="35">
        <v>31</v>
      </c>
      <c r="D460" s="31"/>
      <c r="E460" s="85"/>
      <c r="F460" s="85"/>
      <c r="G460" s="85"/>
      <c r="H460" s="258"/>
      <c r="I460" s="274"/>
      <c r="K460" s="335"/>
    </row>
    <row r="461" spans="1:11" s="9" customFormat="1" ht="30" customHeight="1">
      <c r="A461" s="53" t="s">
        <v>73</v>
      </c>
      <c r="B461" s="40">
        <v>0.2</v>
      </c>
      <c r="C461" s="40">
        <v>0.2</v>
      </c>
      <c r="D461" s="31"/>
      <c r="E461" s="85"/>
      <c r="F461" s="85"/>
      <c r="G461" s="85"/>
      <c r="H461" s="258"/>
      <c r="I461" s="274"/>
      <c r="K461" s="335"/>
    </row>
    <row r="462" spans="1:12" s="9" customFormat="1" ht="30" customHeight="1">
      <c r="A462" s="477" t="s">
        <v>454</v>
      </c>
      <c r="B462" s="477"/>
      <c r="C462" s="477"/>
      <c r="D462" s="294" t="s">
        <v>455</v>
      </c>
      <c r="E462" s="44">
        <v>11.1</v>
      </c>
      <c r="F462" s="44">
        <v>10.2</v>
      </c>
      <c r="G462" s="44">
        <v>11.9</v>
      </c>
      <c r="H462" s="43">
        <f>(E462+G462)*4+F462*9</f>
        <v>183.8</v>
      </c>
      <c r="I462" s="276" t="s">
        <v>456</v>
      </c>
      <c r="K462" s="335"/>
      <c r="L462" s="61"/>
    </row>
    <row r="463" spans="1:11" s="9" customFormat="1" ht="30" customHeight="1">
      <c r="A463" s="115" t="s">
        <v>457</v>
      </c>
      <c r="B463" s="27">
        <f>C463*1.054</f>
        <v>75.888</v>
      </c>
      <c r="C463" s="36">
        <v>72</v>
      </c>
      <c r="D463" s="36"/>
      <c r="E463" s="95"/>
      <c r="F463" s="95"/>
      <c r="G463" s="95"/>
      <c r="H463" s="87"/>
      <c r="I463" s="429"/>
      <c r="K463" s="335"/>
    </row>
    <row r="464" spans="1:11" s="9" customFormat="1" ht="30" customHeight="1">
      <c r="A464" s="53" t="s">
        <v>52</v>
      </c>
      <c r="B464" s="36">
        <v>14</v>
      </c>
      <c r="C464" s="36">
        <v>14</v>
      </c>
      <c r="D464" s="36"/>
      <c r="E464" s="110"/>
      <c r="F464" s="110"/>
      <c r="G464" s="110"/>
      <c r="H464" s="256"/>
      <c r="I464" s="430"/>
      <c r="K464" s="335"/>
    </row>
    <row r="465" spans="1:11" s="9" customFormat="1" ht="30" customHeight="1">
      <c r="A465" s="58" t="s">
        <v>38</v>
      </c>
      <c r="B465" s="89">
        <f>B464*460/1000</f>
        <v>6.44</v>
      </c>
      <c r="C465" s="89">
        <f>C464*460/1000</f>
        <v>6.44</v>
      </c>
      <c r="D465" s="36"/>
      <c r="E465" s="44"/>
      <c r="F465" s="44"/>
      <c r="G465" s="44"/>
      <c r="H465" s="43"/>
      <c r="I465" s="430"/>
      <c r="K465" s="335"/>
    </row>
    <row r="466" spans="1:11" s="9" customFormat="1" ht="30" customHeight="1">
      <c r="A466" s="58" t="s">
        <v>39</v>
      </c>
      <c r="B466" s="89">
        <f>B464*120/1000</f>
        <v>1.68</v>
      </c>
      <c r="C466" s="89">
        <f>C464*120/1000</f>
        <v>1.68</v>
      </c>
      <c r="D466" s="36"/>
      <c r="E466" s="44"/>
      <c r="F466" s="44"/>
      <c r="G466" s="44"/>
      <c r="H466" s="43"/>
      <c r="I466" s="430"/>
      <c r="K466" s="335"/>
    </row>
    <row r="467" spans="1:11" s="9" customFormat="1" ht="30" customHeight="1">
      <c r="A467" s="190" t="s">
        <v>155</v>
      </c>
      <c r="B467" s="191">
        <f>B464-B465</f>
        <v>7.56</v>
      </c>
      <c r="C467" s="191">
        <f>C464-C465</f>
        <v>7.56</v>
      </c>
      <c r="D467" s="36"/>
      <c r="E467" s="44"/>
      <c r="F467" s="44"/>
      <c r="G467" s="44"/>
      <c r="H467" s="43"/>
      <c r="I467" s="430"/>
      <c r="K467" s="335"/>
    </row>
    <row r="468" spans="1:13" s="9" customFormat="1" ht="30" customHeight="1">
      <c r="A468" s="190" t="s">
        <v>156</v>
      </c>
      <c r="B468" s="191">
        <f>B464-B466</f>
        <v>12.32</v>
      </c>
      <c r="C468" s="191">
        <f>C464-C466</f>
        <v>12.32</v>
      </c>
      <c r="D468" s="36"/>
      <c r="E468" s="44"/>
      <c r="F468" s="44"/>
      <c r="G468" s="44"/>
      <c r="H468" s="43"/>
      <c r="I468" s="430"/>
      <c r="J468" s="61"/>
      <c r="K468" s="334"/>
      <c r="L468" s="61"/>
      <c r="M468" s="61"/>
    </row>
    <row r="469" spans="1:11" s="9" customFormat="1" ht="30" customHeight="1">
      <c r="A469" s="53" t="s">
        <v>458</v>
      </c>
      <c r="B469" s="36">
        <v>14</v>
      </c>
      <c r="C469" s="36">
        <v>14</v>
      </c>
      <c r="D469" s="36"/>
      <c r="E469" s="41"/>
      <c r="F469" s="41"/>
      <c r="G469" s="41"/>
      <c r="H469" s="41"/>
      <c r="I469" s="430"/>
      <c r="K469" s="335"/>
    </row>
    <row r="470" spans="1:11" s="9" customFormat="1" ht="30" customHeight="1">
      <c r="A470" s="53" t="s">
        <v>86</v>
      </c>
      <c r="B470" s="36">
        <v>4</v>
      </c>
      <c r="C470" s="36">
        <v>4</v>
      </c>
      <c r="D470" s="36"/>
      <c r="E470" s="41"/>
      <c r="F470" s="41"/>
      <c r="G470" s="41"/>
      <c r="H470" s="37"/>
      <c r="I470" s="430"/>
      <c r="K470" s="335"/>
    </row>
    <row r="471" spans="1:11" s="9" customFormat="1" ht="30" customHeight="1">
      <c r="A471" s="53" t="s">
        <v>98</v>
      </c>
      <c r="B471" s="36">
        <v>5</v>
      </c>
      <c r="C471" s="36">
        <v>4</v>
      </c>
      <c r="D471" s="36"/>
      <c r="E471" s="41"/>
      <c r="F471" s="41"/>
      <c r="G471" s="41"/>
      <c r="H471" s="37"/>
      <c r="I471" s="430"/>
      <c r="K471" s="335"/>
    </row>
    <row r="472" spans="1:11" s="9" customFormat="1" ht="30" customHeight="1">
      <c r="A472" s="53" t="s">
        <v>21</v>
      </c>
      <c r="B472" s="36">
        <v>6</v>
      </c>
      <c r="C472" s="36">
        <v>6</v>
      </c>
      <c r="D472" s="36"/>
      <c r="E472" s="41"/>
      <c r="F472" s="41"/>
      <c r="G472" s="41"/>
      <c r="H472" s="37"/>
      <c r="I472" s="430"/>
      <c r="K472" s="335"/>
    </row>
    <row r="473" spans="1:11" s="9" customFormat="1" ht="30" customHeight="1">
      <c r="A473" s="53" t="s">
        <v>11</v>
      </c>
      <c r="B473" s="36">
        <v>3</v>
      </c>
      <c r="C473" s="36">
        <v>3</v>
      </c>
      <c r="D473" s="36"/>
      <c r="E473" s="41"/>
      <c r="F473" s="41"/>
      <c r="G473" s="41"/>
      <c r="H473" s="37"/>
      <c r="I473" s="430"/>
      <c r="K473" s="335"/>
    </row>
    <row r="474" spans="1:9" ht="30" customHeight="1">
      <c r="A474" s="488" t="s">
        <v>70</v>
      </c>
      <c r="B474" s="488"/>
      <c r="C474" s="488"/>
      <c r="D474" s="488"/>
      <c r="E474" s="488"/>
      <c r="F474" s="488"/>
      <c r="G474" s="488"/>
      <c r="H474" s="488"/>
      <c r="I474" s="488"/>
    </row>
    <row r="475" spans="1:11" s="9" customFormat="1" ht="30" customHeight="1">
      <c r="A475" s="484" t="s">
        <v>469</v>
      </c>
      <c r="B475" s="484"/>
      <c r="C475" s="484"/>
      <c r="D475" s="21">
        <v>90</v>
      </c>
      <c r="E475" s="44">
        <v>12.8</v>
      </c>
      <c r="F475" s="44">
        <v>9.9</v>
      </c>
      <c r="G475" s="44">
        <v>10.8</v>
      </c>
      <c r="H475" s="43">
        <f>G475*4+F475*9+E475*4</f>
        <v>183.5</v>
      </c>
      <c r="I475" s="276" t="s">
        <v>238</v>
      </c>
      <c r="K475" s="335"/>
    </row>
    <row r="476" spans="1:8" ht="30" customHeight="1">
      <c r="A476" s="86" t="s">
        <v>88</v>
      </c>
      <c r="B476" s="48">
        <f>C476*1.36</f>
        <v>91.12</v>
      </c>
      <c r="C476" s="5">
        <v>67</v>
      </c>
      <c r="D476" s="36"/>
      <c r="E476" s="95"/>
      <c r="F476" s="44"/>
      <c r="G476" s="44"/>
      <c r="H476" s="43"/>
    </row>
    <row r="477" spans="1:9" ht="30" customHeight="1">
      <c r="A477" s="86" t="s">
        <v>89</v>
      </c>
      <c r="B477" s="48">
        <f>C477*1.18</f>
        <v>79.06</v>
      </c>
      <c r="C477" s="35">
        <v>67</v>
      </c>
      <c r="D477" s="36"/>
      <c r="E477" s="44"/>
      <c r="F477" s="44"/>
      <c r="G477" s="44"/>
      <c r="H477" s="43"/>
      <c r="I477" s="276"/>
    </row>
    <row r="478" spans="1:9" ht="30" customHeight="1">
      <c r="A478" s="51" t="s">
        <v>10</v>
      </c>
      <c r="B478" s="5">
        <v>14</v>
      </c>
      <c r="C478" s="5">
        <v>14</v>
      </c>
      <c r="D478" s="36"/>
      <c r="E478" s="95"/>
      <c r="F478" s="44"/>
      <c r="G478" s="44"/>
      <c r="H478" s="43"/>
      <c r="I478" s="274"/>
    </row>
    <row r="479" spans="1:8" ht="30" customHeight="1">
      <c r="A479" s="53" t="s">
        <v>241</v>
      </c>
      <c r="B479" s="36">
        <v>11</v>
      </c>
      <c r="C479" s="36">
        <v>11</v>
      </c>
      <c r="D479" s="36"/>
      <c r="E479" s="41"/>
      <c r="F479" s="41"/>
      <c r="G479" s="41"/>
      <c r="H479" s="41"/>
    </row>
    <row r="480" spans="1:9" ht="30" customHeight="1">
      <c r="A480" s="58" t="s">
        <v>38</v>
      </c>
      <c r="B480" s="89">
        <f>B479*460/1000</f>
        <v>5.06</v>
      </c>
      <c r="C480" s="89">
        <f>C479*460/1000</f>
        <v>5.06</v>
      </c>
      <c r="D480" s="36"/>
      <c r="E480" s="95"/>
      <c r="F480" s="95"/>
      <c r="G480" s="95"/>
      <c r="H480" s="95"/>
      <c r="I480" s="274"/>
    </row>
    <row r="481" spans="1:9" ht="30" customHeight="1">
      <c r="A481" s="58" t="s">
        <v>39</v>
      </c>
      <c r="B481" s="89">
        <f>B479*120/1000</f>
        <v>1.32</v>
      </c>
      <c r="C481" s="89">
        <f>C479*120/1000</f>
        <v>1.32</v>
      </c>
      <c r="D481" s="36"/>
      <c r="E481" s="95"/>
      <c r="F481" s="95"/>
      <c r="G481" s="95"/>
      <c r="H481" s="95"/>
      <c r="I481" s="274"/>
    </row>
    <row r="482" spans="1:9" ht="30" customHeight="1">
      <c r="A482" s="190" t="s">
        <v>155</v>
      </c>
      <c r="B482" s="191">
        <f>B479-B480</f>
        <v>5.94</v>
      </c>
      <c r="C482" s="191">
        <f>C479-C480</f>
        <v>5.94</v>
      </c>
      <c r="D482" s="36"/>
      <c r="E482" s="95"/>
      <c r="F482" s="95"/>
      <c r="G482" s="95"/>
      <c r="H482" s="95"/>
      <c r="I482" s="274"/>
    </row>
    <row r="483" spans="1:9" ht="30" customHeight="1">
      <c r="A483" s="190" t="s">
        <v>156</v>
      </c>
      <c r="B483" s="191">
        <f>B479-B481</f>
        <v>9.68</v>
      </c>
      <c r="C483" s="191">
        <f>C479-C481</f>
        <v>9.68</v>
      </c>
      <c r="D483" s="36"/>
      <c r="E483" s="95"/>
      <c r="F483" s="95"/>
      <c r="G483" s="95"/>
      <c r="H483" s="95"/>
      <c r="I483" s="274"/>
    </row>
    <row r="484" spans="1:9" ht="30" customHeight="1">
      <c r="A484" s="53" t="s">
        <v>18</v>
      </c>
      <c r="B484" s="37">
        <f>C484*1.19</f>
        <v>8.33</v>
      </c>
      <c r="C484" s="36">
        <v>7</v>
      </c>
      <c r="D484" s="36"/>
      <c r="E484" s="95"/>
      <c r="F484" s="44"/>
      <c r="G484" s="44"/>
      <c r="H484" s="294"/>
      <c r="I484" s="274"/>
    </row>
    <row r="485" spans="1:9" ht="30" customHeight="1">
      <c r="A485" s="53" t="s">
        <v>86</v>
      </c>
      <c r="B485" s="234">
        <v>3.5</v>
      </c>
      <c r="C485" s="234">
        <v>3.5</v>
      </c>
      <c r="D485" s="36"/>
      <c r="E485" s="95"/>
      <c r="F485" s="95"/>
      <c r="G485" s="95"/>
      <c r="H485" s="266"/>
      <c r="I485" s="274"/>
    </row>
    <row r="486" spans="1:9" ht="30" customHeight="1">
      <c r="A486" s="53" t="s">
        <v>172</v>
      </c>
      <c r="B486" s="234">
        <v>7</v>
      </c>
      <c r="C486" s="234">
        <v>7</v>
      </c>
      <c r="D486" s="36"/>
      <c r="E486" s="95"/>
      <c r="F486" s="95"/>
      <c r="G486" s="95"/>
      <c r="H486" s="266"/>
      <c r="I486" s="274"/>
    </row>
    <row r="487" spans="1:9" ht="30" customHeight="1">
      <c r="A487" s="51" t="s">
        <v>11</v>
      </c>
      <c r="B487" s="5">
        <v>2</v>
      </c>
      <c r="C487" s="5">
        <v>2</v>
      </c>
      <c r="D487" s="36"/>
      <c r="E487" s="95"/>
      <c r="F487" s="44"/>
      <c r="G487" s="44"/>
      <c r="H487" s="43"/>
      <c r="I487" s="274"/>
    </row>
    <row r="488" spans="1:9" ht="30" customHeight="1">
      <c r="A488" s="482" t="s">
        <v>319</v>
      </c>
      <c r="B488" s="482"/>
      <c r="C488" s="482"/>
      <c r="D488" s="23">
        <v>150</v>
      </c>
      <c r="E488" s="110">
        <v>1.2</v>
      </c>
      <c r="F488" s="110">
        <v>5.1</v>
      </c>
      <c r="G488" s="110">
        <v>21.6</v>
      </c>
      <c r="H488" s="378">
        <f>E488*4+F488*9+G488*4</f>
        <v>137.1</v>
      </c>
      <c r="I488" s="290" t="s">
        <v>318</v>
      </c>
    </row>
    <row r="489" spans="1:8" ht="30" customHeight="1">
      <c r="A489" s="53" t="s">
        <v>12</v>
      </c>
      <c r="B489" s="37">
        <f>C489*1.33</f>
        <v>199.5</v>
      </c>
      <c r="C489" s="37">
        <v>150</v>
      </c>
      <c r="D489" s="36"/>
      <c r="E489" s="36"/>
      <c r="F489" s="36"/>
      <c r="G489" s="36"/>
      <c r="H489" s="36"/>
    </row>
    <row r="490" spans="1:8" ht="30" customHeight="1">
      <c r="A490" s="53" t="s">
        <v>13</v>
      </c>
      <c r="B490" s="37">
        <f>C490*1.43</f>
        <v>214.5</v>
      </c>
      <c r="C490" s="37">
        <v>150</v>
      </c>
      <c r="D490" s="36"/>
      <c r="E490" s="36"/>
      <c r="F490" s="36"/>
      <c r="G490" s="36"/>
      <c r="H490" s="36"/>
    </row>
    <row r="491" spans="1:8" ht="30" customHeight="1">
      <c r="A491" s="53" t="s">
        <v>14</v>
      </c>
      <c r="B491" s="37">
        <f>C491*1.54</f>
        <v>231</v>
      </c>
      <c r="C491" s="37">
        <v>150</v>
      </c>
      <c r="D491" s="36"/>
      <c r="E491" s="36"/>
      <c r="F491" s="36"/>
      <c r="G491" s="36"/>
      <c r="H491" s="36"/>
    </row>
    <row r="492" spans="1:9" ht="30" customHeight="1">
      <c r="A492" s="53" t="s">
        <v>15</v>
      </c>
      <c r="B492" s="87">
        <f>C492*1.67</f>
        <v>250.5</v>
      </c>
      <c r="C492" s="87">
        <v>150</v>
      </c>
      <c r="D492" s="296"/>
      <c r="E492" s="296"/>
      <c r="F492" s="296"/>
      <c r="G492" s="296"/>
      <c r="H492" s="296"/>
      <c r="I492" s="274"/>
    </row>
    <row r="493" spans="1:8" ht="30" customHeight="1">
      <c r="A493" s="53" t="s">
        <v>152</v>
      </c>
      <c r="B493" s="37">
        <v>25</v>
      </c>
      <c r="C493" s="37">
        <v>25</v>
      </c>
      <c r="D493" s="36"/>
      <c r="E493" s="36"/>
      <c r="F493" s="36"/>
      <c r="G493" s="36"/>
      <c r="H493" s="36"/>
    </row>
    <row r="494" spans="1:8" ht="30" customHeight="1">
      <c r="A494" s="53" t="s">
        <v>18</v>
      </c>
      <c r="B494" s="37">
        <f>C494*1.19</f>
        <v>19.04</v>
      </c>
      <c r="C494" s="36">
        <v>16</v>
      </c>
      <c r="D494" s="150"/>
      <c r="E494" s="150"/>
      <c r="F494" s="150"/>
      <c r="G494" s="150"/>
      <c r="H494" s="150"/>
    </row>
    <row r="495" spans="1:9" ht="30" customHeight="1">
      <c r="A495" s="53" t="s">
        <v>19</v>
      </c>
      <c r="B495" s="36">
        <v>5</v>
      </c>
      <c r="C495" s="36">
        <v>5</v>
      </c>
      <c r="D495" s="150"/>
      <c r="E495" s="379"/>
      <c r="F495" s="379"/>
      <c r="G495" s="379"/>
      <c r="H495" s="150"/>
      <c r="I495" s="278"/>
    </row>
    <row r="496" spans="1:11" s="9" customFormat="1" ht="30" customHeight="1">
      <c r="A496" s="53" t="s">
        <v>153</v>
      </c>
      <c r="B496" s="36"/>
      <c r="C496" s="36">
        <v>8</v>
      </c>
      <c r="D496" s="150"/>
      <c r="E496" s="379"/>
      <c r="F496" s="379"/>
      <c r="G496" s="379"/>
      <c r="H496" s="150"/>
      <c r="I496" s="278"/>
      <c r="K496" s="335"/>
    </row>
    <row r="497" spans="1:9" ht="30" customHeight="1">
      <c r="A497" s="485" t="s">
        <v>317</v>
      </c>
      <c r="B497" s="485"/>
      <c r="C497" s="485"/>
      <c r="D497" s="148">
        <v>200</v>
      </c>
      <c r="E497" s="105">
        <v>0.1</v>
      </c>
      <c r="F497" s="105">
        <v>0</v>
      </c>
      <c r="G497" s="105">
        <v>19</v>
      </c>
      <c r="H497" s="43">
        <f>G497*4+F497*9+E497*4</f>
        <v>76.4</v>
      </c>
      <c r="I497" s="276" t="s">
        <v>289</v>
      </c>
    </row>
    <row r="498" spans="1:9" ht="30" customHeight="1">
      <c r="A498" s="76" t="s">
        <v>119</v>
      </c>
      <c r="B498" s="50">
        <v>26.4</v>
      </c>
      <c r="C498" s="50">
        <v>25</v>
      </c>
      <c r="D498" s="239"/>
      <c r="E498" s="147"/>
      <c r="F498" s="147"/>
      <c r="G498" s="147"/>
      <c r="H498" s="265"/>
      <c r="I498" s="277"/>
    </row>
    <row r="499" spans="1:9" ht="30" customHeight="1">
      <c r="A499" s="53" t="s">
        <v>4</v>
      </c>
      <c r="B499" s="50">
        <v>15</v>
      </c>
      <c r="C499" s="50">
        <v>15</v>
      </c>
      <c r="D499" s="239"/>
      <c r="E499" s="147"/>
      <c r="F499" s="147"/>
      <c r="G499" s="147"/>
      <c r="H499" s="265"/>
      <c r="I499" s="273"/>
    </row>
    <row r="500" spans="1:9" ht="30" customHeight="1">
      <c r="A500" s="354" t="s">
        <v>20</v>
      </c>
      <c r="B500" s="25">
        <v>50</v>
      </c>
      <c r="C500" s="25">
        <v>50</v>
      </c>
      <c r="D500" s="39">
        <v>50</v>
      </c>
      <c r="E500" s="366">
        <v>2.3333333333333335</v>
      </c>
      <c r="F500" s="366">
        <v>0.5</v>
      </c>
      <c r="G500" s="366">
        <v>21.833333333333332</v>
      </c>
      <c r="H500" s="367">
        <v>101.33333333333333</v>
      </c>
      <c r="I500" s="368"/>
    </row>
    <row r="501" spans="1:12" s="9" customFormat="1" ht="30" customHeight="1">
      <c r="A501" s="477" t="s">
        <v>75</v>
      </c>
      <c r="B501" s="477"/>
      <c r="C501" s="477"/>
      <c r="D501" s="39">
        <v>50</v>
      </c>
      <c r="E501" s="41"/>
      <c r="F501" s="41"/>
      <c r="G501" s="41"/>
      <c r="H501" s="41"/>
      <c r="I501" s="278"/>
      <c r="K501" s="335"/>
      <c r="L501" s="61"/>
    </row>
    <row r="502" spans="1:12" s="9" customFormat="1" ht="30" customHeight="1">
      <c r="A502" s="212" t="s">
        <v>26</v>
      </c>
      <c r="B502" s="36">
        <v>30</v>
      </c>
      <c r="C502" s="36">
        <v>30</v>
      </c>
      <c r="D502" s="23">
        <v>30</v>
      </c>
      <c r="E502" s="110">
        <v>1.1</v>
      </c>
      <c r="F502" s="110">
        <v>0.3</v>
      </c>
      <c r="G502" s="110">
        <v>14.1</v>
      </c>
      <c r="H502" s="256">
        <v>61.5</v>
      </c>
      <c r="I502" s="278"/>
      <c r="K502" s="335"/>
      <c r="L502" s="61"/>
    </row>
    <row r="503" spans="1:11" ht="30" customHeight="1">
      <c r="A503" s="475" t="s">
        <v>24</v>
      </c>
      <c r="B503" s="475"/>
      <c r="C503" s="475"/>
      <c r="D503" s="475"/>
      <c r="E503" s="99">
        <f>E437+E418</f>
        <v>41.50533333333333</v>
      </c>
      <c r="F503" s="99">
        <f>F437+F418</f>
        <v>40</v>
      </c>
      <c r="G503" s="99">
        <f>G437+G418</f>
        <v>186.47333333333333</v>
      </c>
      <c r="H503" s="96">
        <f>H437+H418</f>
        <v>1273.7813333333334</v>
      </c>
      <c r="I503" s="273"/>
      <c r="J503" s="9"/>
      <c r="K503" s="335"/>
    </row>
    <row r="504" spans="1:9" ht="30" customHeight="1">
      <c r="A504" s="490" t="s">
        <v>45</v>
      </c>
      <c r="B504" s="490"/>
      <c r="C504" s="490"/>
      <c r="D504" s="490"/>
      <c r="E504" s="490"/>
      <c r="F504" s="490"/>
      <c r="G504" s="490"/>
      <c r="H504" s="490"/>
      <c r="I504" s="490"/>
    </row>
    <row r="505" spans="1:9" ht="30" customHeight="1">
      <c r="A505" s="487" t="s">
        <v>0</v>
      </c>
      <c r="B505" s="476" t="s">
        <v>6</v>
      </c>
      <c r="C505" s="476" t="s">
        <v>7</v>
      </c>
      <c r="D505" s="487" t="s">
        <v>5</v>
      </c>
      <c r="E505" s="487"/>
      <c r="F505" s="487"/>
      <c r="G505" s="487"/>
      <c r="H505" s="487"/>
      <c r="I505" s="487"/>
    </row>
    <row r="506" spans="1:9" ht="30" customHeight="1">
      <c r="A506" s="487"/>
      <c r="B506" s="476"/>
      <c r="C506" s="476"/>
      <c r="D506" s="138" t="s">
        <v>8</v>
      </c>
      <c r="E506" s="301" t="s">
        <v>1</v>
      </c>
      <c r="F506" s="301" t="s">
        <v>2</v>
      </c>
      <c r="G506" s="301" t="s">
        <v>9</v>
      </c>
      <c r="H506" s="300" t="s">
        <v>3</v>
      </c>
      <c r="I506" s="302" t="s">
        <v>199</v>
      </c>
    </row>
    <row r="507" spans="1:12" s="9" customFormat="1" ht="30" customHeight="1">
      <c r="A507" s="479" t="s">
        <v>109</v>
      </c>
      <c r="B507" s="479"/>
      <c r="C507" s="479"/>
      <c r="D507" s="263">
        <f>D508+D519+D523+D532</f>
        <v>590</v>
      </c>
      <c r="E507" s="99">
        <f>E508+E519+E523+E531+E532</f>
        <v>13.399999999999999</v>
      </c>
      <c r="F507" s="99">
        <f>F508+F519+F523+F531+F532</f>
        <v>18.799999999999997</v>
      </c>
      <c r="G507" s="99">
        <f>G508+G519+G523+G531+G532</f>
        <v>75.7</v>
      </c>
      <c r="H507" s="96">
        <f>H508+H519+H523+H531+H532</f>
        <v>524.7</v>
      </c>
      <c r="I507" s="275"/>
      <c r="K507" s="335"/>
      <c r="L507" s="61"/>
    </row>
    <row r="508" spans="1:12" ht="30" customHeight="1">
      <c r="A508" s="477" t="s">
        <v>420</v>
      </c>
      <c r="B508" s="477"/>
      <c r="C508" s="477"/>
      <c r="D508" s="23">
        <v>200</v>
      </c>
      <c r="E508" s="110">
        <v>5.2</v>
      </c>
      <c r="F508" s="110">
        <v>8.2</v>
      </c>
      <c r="G508" s="110">
        <v>26</v>
      </c>
      <c r="H508" s="256">
        <f>E508*4+F508*9+G508*4</f>
        <v>198.6</v>
      </c>
      <c r="I508" s="261" t="s">
        <v>214</v>
      </c>
      <c r="L508" s="18"/>
    </row>
    <row r="509" spans="1:12" ht="30" customHeight="1">
      <c r="A509" s="56" t="s">
        <v>421</v>
      </c>
      <c r="B509" s="90">
        <v>30</v>
      </c>
      <c r="C509" s="37">
        <v>30</v>
      </c>
      <c r="D509" s="41"/>
      <c r="E509" s="41"/>
      <c r="F509" s="41"/>
      <c r="G509" s="41"/>
      <c r="H509" s="41"/>
      <c r="I509" s="413"/>
      <c r="L509" s="18"/>
    </row>
    <row r="510" spans="1:12" ht="30" customHeight="1">
      <c r="A510" s="56" t="s">
        <v>422</v>
      </c>
      <c r="B510" s="90">
        <v>30</v>
      </c>
      <c r="C510" s="37">
        <v>30</v>
      </c>
      <c r="D510" s="41"/>
      <c r="E510" s="41"/>
      <c r="F510" s="41"/>
      <c r="G510" s="41"/>
      <c r="H510" s="41"/>
      <c r="I510" s="413"/>
      <c r="L510" s="18"/>
    </row>
    <row r="511" spans="1:12" ht="30" customHeight="1">
      <c r="A511" s="53" t="s">
        <v>52</v>
      </c>
      <c r="B511" s="37">
        <v>183</v>
      </c>
      <c r="C511" s="37">
        <v>183</v>
      </c>
      <c r="D511" s="36"/>
      <c r="E511" s="41"/>
      <c r="F511" s="41"/>
      <c r="G511" s="41"/>
      <c r="H511" s="36"/>
      <c r="K511" s="336" t="s">
        <v>45</v>
      </c>
      <c r="L511" s="9"/>
    </row>
    <row r="512" spans="1:12" ht="30" customHeight="1">
      <c r="A512" s="388" t="s">
        <v>38</v>
      </c>
      <c r="B512" s="389">
        <f>B511*460/1000</f>
        <v>84.18</v>
      </c>
      <c r="C512" s="389">
        <f>C511*460/1000</f>
        <v>84.18</v>
      </c>
      <c r="D512" s="36"/>
      <c r="E512" s="41"/>
      <c r="F512" s="41"/>
      <c r="G512" s="41"/>
      <c r="H512" s="36"/>
      <c r="K512" s="322" t="s">
        <v>26</v>
      </c>
      <c r="L512" s="9">
        <f>D583+C531</f>
        <v>60</v>
      </c>
    </row>
    <row r="513" spans="1:12" s="9" customFormat="1" ht="30" customHeight="1">
      <c r="A513" s="388" t="s">
        <v>39</v>
      </c>
      <c r="B513" s="389">
        <f>B511*120/1000</f>
        <v>21.96</v>
      </c>
      <c r="C513" s="389">
        <f>C511*120/1000</f>
        <v>21.96</v>
      </c>
      <c r="D513" s="36"/>
      <c r="E513" s="41"/>
      <c r="F513" s="41"/>
      <c r="G513" s="41"/>
      <c r="H513" s="36"/>
      <c r="I513" s="275"/>
      <c r="K513" s="322" t="s">
        <v>131</v>
      </c>
      <c r="L513" s="9">
        <f>D581+C520+C563+C571</f>
        <v>81</v>
      </c>
    </row>
    <row r="514" spans="1:12" s="9" customFormat="1" ht="30" customHeight="1">
      <c r="A514" s="355" t="s">
        <v>78</v>
      </c>
      <c r="B514" s="390">
        <f>B511-B512</f>
        <v>98.82</v>
      </c>
      <c r="C514" s="390">
        <f>C511-C512</f>
        <v>98.82</v>
      </c>
      <c r="D514" s="397"/>
      <c r="E514" s="396"/>
      <c r="F514" s="396"/>
      <c r="G514" s="396"/>
      <c r="H514" s="397"/>
      <c r="I514" s="275"/>
      <c r="K514" s="322" t="s">
        <v>161</v>
      </c>
      <c r="L514" s="17"/>
    </row>
    <row r="515" spans="1:13" s="9" customFormat="1" ht="30" customHeight="1">
      <c r="A515" s="355" t="s">
        <v>79</v>
      </c>
      <c r="B515" s="390">
        <f>B511-B513</f>
        <v>161.04</v>
      </c>
      <c r="C515" s="390">
        <f>C511-C513</f>
        <v>161.04</v>
      </c>
      <c r="D515" s="397"/>
      <c r="E515" s="396"/>
      <c r="F515" s="396"/>
      <c r="G515" s="396"/>
      <c r="H515" s="397"/>
      <c r="I515" s="275"/>
      <c r="J515" s="61"/>
      <c r="K515" s="322" t="s">
        <v>67</v>
      </c>
      <c r="L515" s="62">
        <f>C575+C509</f>
        <v>84</v>
      </c>
      <c r="M515" s="61"/>
    </row>
    <row r="516" spans="1:11" ht="30" customHeight="1">
      <c r="A516" s="53" t="s">
        <v>4</v>
      </c>
      <c r="B516" s="35">
        <v>5</v>
      </c>
      <c r="C516" s="35">
        <v>5</v>
      </c>
      <c r="D516" s="431"/>
      <c r="E516" s="432"/>
      <c r="F516" s="432"/>
      <c r="G516" s="432"/>
      <c r="H516" s="431"/>
      <c r="K516" s="322" t="s">
        <v>66</v>
      </c>
    </row>
    <row r="517" spans="1:12" ht="30" customHeight="1">
      <c r="A517" s="54" t="s">
        <v>53</v>
      </c>
      <c r="B517" s="126">
        <v>1</v>
      </c>
      <c r="C517" s="296">
        <v>1</v>
      </c>
      <c r="D517" s="431"/>
      <c r="E517" s="432"/>
      <c r="F517" s="432"/>
      <c r="G517" s="432"/>
      <c r="H517" s="431"/>
      <c r="K517" s="322" t="s">
        <v>27</v>
      </c>
      <c r="L517" s="62">
        <f>C548</f>
        <v>43.333333333333336</v>
      </c>
    </row>
    <row r="518" spans="1:12" ht="30" customHeight="1">
      <c r="A518" s="51" t="s">
        <v>19</v>
      </c>
      <c r="B518" s="5">
        <v>5</v>
      </c>
      <c r="C518" s="5">
        <v>5</v>
      </c>
      <c r="D518" s="5"/>
      <c r="E518" s="95"/>
      <c r="F518" s="95"/>
      <c r="G518" s="95"/>
      <c r="H518" s="296"/>
      <c r="K518" s="322" t="s">
        <v>210</v>
      </c>
      <c r="L518" s="62">
        <f>C535+C569+C547+C552+C554+C555+C537+C543</f>
        <v>156.83333333333331</v>
      </c>
    </row>
    <row r="519" spans="1:12" ht="30" customHeight="1">
      <c r="A519" s="480" t="s">
        <v>301</v>
      </c>
      <c r="B519" s="480"/>
      <c r="C519" s="480"/>
      <c r="D519" s="26">
        <v>40</v>
      </c>
      <c r="E519" s="45">
        <v>3.9</v>
      </c>
      <c r="F519" s="45">
        <v>7.2</v>
      </c>
      <c r="G519" s="45">
        <v>10.5</v>
      </c>
      <c r="H519" s="43">
        <f>E519*4+F519*9+G519*4</f>
        <v>122.39999999999999</v>
      </c>
      <c r="I519" s="244" t="s">
        <v>302</v>
      </c>
      <c r="K519" s="322" t="s">
        <v>28</v>
      </c>
      <c r="L519" s="61">
        <f>D532</f>
        <v>150</v>
      </c>
    </row>
    <row r="520" spans="1:12" ht="30" customHeight="1">
      <c r="A520" s="56" t="s">
        <v>133</v>
      </c>
      <c r="B520" s="60">
        <v>20</v>
      </c>
      <c r="C520" s="60">
        <v>20</v>
      </c>
      <c r="D520" s="26"/>
      <c r="E520" s="45"/>
      <c r="F520" s="45"/>
      <c r="G520" s="45"/>
      <c r="H520" s="43"/>
      <c r="I520" s="274"/>
      <c r="K520" s="322" t="s">
        <v>177</v>
      </c>
      <c r="L520" s="9">
        <f>C579</f>
        <v>25</v>
      </c>
    </row>
    <row r="521" spans="1:12" ht="30" customHeight="1">
      <c r="A521" s="56" t="s">
        <v>98</v>
      </c>
      <c r="B521" s="60">
        <v>16</v>
      </c>
      <c r="C521" s="60">
        <v>15</v>
      </c>
      <c r="D521" s="26"/>
      <c r="E521" s="380"/>
      <c r="F521" s="380"/>
      <c r="G521" s="380"/>
      <c r="H521" s="256"/>
      <c r="K521" s="322" t="s">
        <v>211</v>
      </c>
      <c r="L521" s="170">
        <f>C516+C557+C580+C530</f>
        <v>30.6</v>
      </c>
    </row>
    <row r="522" spans="1:11" ht="30" customHeight="1">
      <c r="A522" s="53" t="s">
        <v>19</v>
      </c>
      <c r="B522" s="36">
        <v>5</v>
      </c>
      <c r="C522" s="36">
        <v>5</v>
      </c>
      <c r="D522" s="245"/>
      <c r="E522" s="45"/>
      <c r="F522" s="45"/>
      <c r="G522" s="45"/>
      <c r="H522" s="43"/>
      <c r="I522" s="274"/>
      <c r="K522" s="322" t="s">
        <v>375</v>
      </c>
    </row>
    <row r="523" spans="1:11" ht="30" customHeight="1">
      <c r="A523" s="502" t="s">
        <v>482</v>
      </c>
      <c r="B523" s="502"/>
      <c r="C523" s="502"/>
      <c r="D523" s="23">
        <v>200</v>
      </c>
      <c r="E523" s="110">
        <v>3.4</v>
      </c>
      <c r="F523" s="23">
        <v>3.2</v>
      </c>
      <c r="G523" s="23">
        <v>21.2</v>
      </c>
      <c r="H523" s="400">
        <f>E523*4+F523*9+G523*4</f>
        <v>127.19999999999999</v>
      </c>
      <c r="I523" s="241" t="s">
        <v>483</v>
      </c>
      <c r="K523" s="337" t="s">
        <v>29</v>
      </c>
    </row>
    <row r="524" spans="1:11" s="9" customFormat="1" ht="30" customHeight="1">
      <c r="A524" s="56" t="s">
        <v>55</v>
      </c>
      <c r="B524" s="37">
        <v>5</v>
      </c>
      <c r="C524" s="37">
        <v>5</v>
      </c>
      <c r="D524" s="36"/>
      <c r="E524" s="41"/>
      <c r="F524" s="41"/>
      <c r="G524" s="41"/>
      <c r="H524" s="37"/>
      <c r="I524" s="382"/>
      <c r="K524" s="322" t="s">
        <v>71</v>
      </c>
    </row>
    <row r="525" spans="1:12" ht="30" customHeight="1">
      <c r="A525" s="402" t="s">
        <v>52</v>
      </c>
      <c r="B525" s="296">
        <v>130</v>
      </c>
      <c r="C525" s="296">
        <v>130</v>
      </c>
      <c r="D525" s="36"/>
      <c r="E525" s="36"/>
      <c r="F525" s="36"/>
      <c r="G525" s="36"/>
      <c r="H525" s="37"/>
      <c r="I525" s="290"/>
      <c r="K525" s="322" t="s">
        <v>189</v>
      </c>
      <c r="L525" s="62">
        <f>C524</f>
        <v>5</v>
      </c>
    </row>
    <row r="526" spans="1:11" ht="30" customHeight="1">
      <c r="A526" s="58" t="s">
        <v>38</v>
      </c>
      <c r="B526" s="89">
        <f>B525*460/1000</f>
        <v>59.8</v>
      </c>
      <c r="C526" s="89">
        <f>C525*460/1000</f>
        <v>59.8</v>
      </c>
      <c r="D526" s="36"/>
      <c r="E526" s="36"/>
      <c r="F526" s="36"/>
      <c r="G526" s="36"/>
      <c r="H526" s="37"/>
      <c r="I526" s="290"/>
      <c r="K526" s="322" t="s">
        <v>190</v>
      </c>
    </row>
    <row r="527" spans="1:12" ht="30" customHeight="1">
      <c r="A527" s="58" t="s">
        <v>39</v>
      </c>
      <c r="B527" s="89">
        <f>B525*120/1000</f>
        <v>15.6</v>
      </c>
      <c r="C527" s="89">
        <f>C525*120/1000</f>
        <v>15.6</v>
      </c>
      <c r="D527" s="36"/>
      <c r="E527" s="36"/>
      <c r="F527" s="36"/>
      <c r="G527" s="36"/>
      <c r="H527" s="37"/>
      <c r="I527" s="290"/>
      <c r="K527" s="338" t="s">
        <v>30</v>
      </c>
      <c r="L527" s="17"/>
    </row>
    <row r="528" spans="1:12" s="9" customFormat="1" ht="30" customHeight="1">
      <c r="A528" s="190" t="s">
        <v>155</v>
      </c>
      <c r="B528" s="191">
        <f>B525-B526</f>
        <v>70.2</v>
      </c>
      <c r="C528" s="191">
        <f>C525-C526</f>
        <v>70.2</v>
      </c>
      <c r="D528" s="36"/>
      <c r="E528" s="36"/>
      <c r="F528" s="36"/>
      <c r="G528" s="36"/>
      <c r="H528" s="37"/>
      <c r="I528" s="290"/>
      <c r="K528" s="322" t="s">
        <v>179</v>
      </c>
      <c r="L528" s="17">
        <f>C561+C541</f>
        <v>84</v>
      </c>
    </row>
    <row r="529" spans="1:12" s="9" customFormat="1" ht="30" customHeight="1">
      <c r="A529" s="190" t="s">
        <v>156</v>
      </c>
      <c r="B529" s="191">
        <f>B525-B527</f>
        <v>114.4</v>
      </c>
      <c r="C529" s="191">
        <f>C525-C527</f>
        <v>114.4</v>
      </c>
      <c r="D529" s="36"/>
      <c r="E529" s="36"/>
      <c r="F529" s="36"/>
      <c r="G529" s="36"/>
      <c r="H529" s="37"/>
      <c r="I529" s="290"/>
      <c r="K529" s="322" t="s">
        <v>181</v>
      </c>
      <c r="L529" s="61"/>
    </row>
    <row r="530" spans="1:12" s="9" customFormat="1" ht="30" customHeight="1">
      <c r="A530" s="402" t="s">
        <v>4</v>
      </c>
      <c r="B530" s="296">
        <v>15</v>
      </c>
      <c r="C530" s="296">
        <v>15</v>
      </c>
      <c r="D530" s="23"/>
      <c r="E530" s="23"/>
      <c r="F530" s="23"/>
      <c r="G530" s="23"/>
      <c r="H530" s="256"/>
      <c r="I530" s="290"/>
      <c r="K530" s="322" t="s">
        <v>180</v>
      </c>
      <c r="L530" s="61"/>
    </row>
    <row r="531" spans="1:12" s="9" customFormat="1" ht="30" customHeight="1">
      <c r="A531" s="212" t="s">
        <v>26</v>
      </c>
      <c r="B531" s="36">
        <v>20</v>
      </c>
      <c r="C531" s="36">
        <v>20</v>
      </c>
      <c r="D531" s="23">
        <v>20</v>
      </c>
      <c r="E531" s="110">
        <v>0.7</v>
      </c>
      <c r="F531" s="110">
        <v>0.2</v>
      </c>
      <c r="G531" s="110">
        <v>9.4</v>
      </c>
      <c r="H531" s="256">
        <v>41.3</v>
      </c>
      <c r="I531" s="275"/>
      <c r="K531" s="322" t="s">
        <v>182</v>
      </c>
      <c r="L531" s="61"/>
    </row>
    <row r="532" spans="1:12" s="9" customFormat="1" ht="30" customHeight="1">
      <c r="A532" s="482" t="s">
        <v>96</v>
      </c>
      <c r="B532" s="478"/>
      <c r="C532" s="478"/>
      <c r="D532" s="26">
        <v>150</v>
      </c>
      <c r="E532" s="45">
        <v>0.2</v>
      </c>
      <c r="F532" s="45">
        <v>0</v>
      </c>
      <c r="G532" s="45">
        <v>8.6</v>
      </c>
      <c r="H532" s="43">
        <f>E532*4+F532*9+G532*4</f>
        <v>35.199999999999996</v>
      </c>
      <c r="I532" s="276" t="s">
        <v>215</v>
      </c>
      <c r="K532" s="327" t="s">
        <v>82</v>
      </c>
      <c r="L532" s="17">
        <f>C511+C525+C564</f>
        <v>324</v>
      </c>
    </row>
    <row r="533" spans="1:12" s="9" customFormat="1" ht="30" customHeight="1">
      <c r="A533" s="479" t="s">
        <v>58</v>
      </c>
      <c r="B533" s="479"/>
      <c r="C533" s="479"/>
      <c r="D533" s="263">
        <f>D534+270+95+D574+D578</f>
        <v>775</v>
      </c>
      <c r="E533" s="99">
        <f>E534+E539+E560+E574+E578+E581+E583</f>
        <v>26.466666666666665</v>
      </c>
      <c r="F533" s="99">
        <f>F534+F539+F560+F574+F578+F581+F583</f>
        <v>23.5</v>
      </c>
      <c r="G533" s="99">
        <f>G534+G539+G560+G574+G578+G581+G583</f>
        <v>120.66666666666667</v>
      </c>
      <c r="H533" s="96">
        <f>H534+H539+H560+H574+H578+H581+H583</f>
        <v>800.1666666666666</v>
      </c>
      <c r="I533" s="274"/>
      <c r="K533" s="329" t="s">
        <v>183</v>
      </c>
      <c r="L533" s="17"/>
    </row>
    <row r="534" spans="1:12" ht="30" customHeight="1">
      <c r="A534" s="498" t="s">
        <v>303</v>
      </c>
      <c r="B534" s="498"/>
      <c r="C534" s="498"/>
      <c r="D534" s="59">
        <v>60</v>
      </c>
      <c r="E534" s="83">
        <v>0.4</v>
      </c>
      <c r="F534" s="83">
        <v>0.2</v>
      </c>
      <c r="G534" s="83">
        <v>1.4</v>
      </c>
      <c r="H534" s="256">
        <f>G534*4+F534*9+E534*4</f>
        <v>9</v>
      </c>
      <c r="I534" s="276" t="s">
        <v>304</v>
      </c>
      <c r="J534" s="9"/>
      <c r="K534" s="322" t="s">
        <v>184</v>
      </c>
      <c r="L534" s="9"/>
    </row>
    <row r="535" spans="1:12" ht="30" customHeight="1">
      <c r="A535" s="56" t="s">
        <v>100</v>
      </c>
      <c r="B535" s="90">
        <f>C535*1.02</f>
        <v>30.6</v>
      </c>
      <c r="C535" s="60">
        <v>30</v>
      </c>
      <c r="D535" s="59"/>
      <c r="E535" s="83"/>
      <c r="F535" s="83"/>
      <c r="G535" s="83"/>
      <c r="H535" s="257"/>
      <c r="I535" s="274"/>
      <c r="K535" s="322" t="s">
        <v>31</v>
      </c>
      <c r="L535" s="17">
        <f>C558</f>
        <v>5</v>
      </c>
    </row>
    <row r="536" spans="1:12" ht="30" customHeight="1">
      <c r="A536" s="56" t="s">
        <v>101</v>
      </c>
      <c r="B536" s="90">
        <f>C536*1.18</f>
        <v>35.4</v>
      </c>
      <c r="C536" s="60">
        <v>30</v>
      </c>
      <c r="D536" s="59"/>
      <c r="E536" s="83"/>
      <c r="F536" s="83"/>
      <c r="G536" s="83"/>
      <c r="H536" s="257"/>
      <c r="I536" s="274"/>
      <c r="J536" s="9"/>
      <c r="K536" s="322" t="s">
        <v>185</v>
      </c>
      <c r="L536" s="17">
        <f>C521</f>
        <v>15</v>
      </c>
    </row>
    <row r="537" spans="1:12" ht="30" customHeight="1">
      <c r="A537" s="56" t="s">
        <v>173</v>
      </c>
      <c r="B537" s="90">
        <f>C537*1.05</f>
        <v>31.5</v>
      </c>
      <c r="C537" s="60">
        <v>30</v>
      </c>
      <c r="D537" s="59"/>
      <c r="E537" s="366"/>
      <c r="F537" s="366"/>
      <c r="G537" s="366"/>
      <c r="H537" s="367"/>
      <c r="J537" s="9"/>
      <c r="K537" s="322" t="s">
        <v>32</v>
      </c>
      <c r="L537" s="62">
        <f>C556+C577+C518+C522+C573</f>
        <v>24</v>
      </c>
    </row>
    <row r="538" spans="1:12" ht="30" customHeight="1">
      <c r="A538" s="56" t="s">
        <v>116</v>
      </c>
      <c r="B538" s="90">
        <f>C538*1.02</f>
        <v>30.6</v>
      </c>
      <c r="C538" s="60">
        <v>30</v>
      </c>
      <c r="D538" s="59"/>
      <c r="E538" s="366"/>
      <c r="F538" s="366"/>
      <c r="G538" s="366"/>
      <c r="H538" s="367"/>
      <c r="J538" s="9"/>
      <c r="K538" s="322" t="s">
        <v>33</v>
      </c>
      <c r="L538" s="62">
        <f>C572</f>
        <v>2</v>
      </c>
    </row>
    <row r="539" spans="1:12" ht="30" customHeight="1">
      <c r="A539" s="482" t="s">
        <v>305</v>
      </c>
      <c r="B539" s="482"/>
      <c r="C539" s="482"/>
      <c r="D539" s="20" t="s">
        <v>136</v>
      </c>
      <c r="E539" s="44">
        <v>5.1</v>
      </c>
      <c r="F539" s="44">
        <v>5.9</v>
      </c>
      <c r="G539" s="44">
        <v>21</v>
      </c>
      <c r="H539" s="43">
        <f>G539*4+F539*9+E539*4</f>
        <v>157.5</v>
      </c>
      <c r="I539" s="276" t="s">
        <v>306</v>
      </c>
      <c r="J539" s="9"/>
      <c r="K539" s="322" t="s">
        <v>186</v>
      </c>
      <c r="L539" s="17">
        <f>C545+C570</f>
        <v>4.7</v>
      </c>
    </row>
    <row r="540" spans="1:12" ht="30" customHeight="1">
      <c r="A540" s="188" t="s">
        <v>231</v>
      </c>
      <c r="B540" s="160"/>
      <c r="C540" s="187">
        <v>15</v>
      </c>
      <c r="D540" s="187"/>
      <c r="E540" s="44"/>
      <c r="F540" s="294"/>
      <c r="G540" s="44"/>
      <c r="H540" s="43"/>
      <c r="I540" s="276" t="s">
        <v>232</v>
      </c>
      <c r="J540" s="9"/>
      <c r="K540" s="322" t="s">
        <v>352</v>
      </c>
      <c r="L540" s="9"/>
    </row>
    <row r="541" spans="1:12" ht="30" customHeight="1">
      <c r="A541" s="86" t="s">
        <v>88</v>
      </c>
      <c r="B541" s="48">
        <f>C541*1.36</f>
        <v>23.12</v>
      </c>
      <c r="C541" s="5">
        <v>17</v>
      </c>
      <c r="D541" s="38"/>
      <c r="E541" s="95"/>
      <c r="F541" s="95"/>
      <c r="G541" s="95"/>
      <c r="H541" s="296"/>
      <c r="K541" s="322" t="s">
        <v>188</v>
      </c>
      <c r="L541" s="15">
        <v>1.5</v>
      </c>
    </row>
    <row r="542" spans="1:12" ht="30" customHeight="1">
      <c r="A542" s="86" t="s">
        <v>89</v>
      </c>
      <c r="B542" s="48">
        <f>C542*1.18</f>
        <v>20.06</v>
      </c>
      <c r="C542" s="35">
        <v>17</v>
      </c>
      <c r="D542" s="31"/>
      <c r="E542" s="85"/>
      <c r="F542" s="85"/>
      <c r="G542" s="85"/>
      <c r="H542" s="258"/>
      <c r="I542" s="274"/>
      <c r="K542" s="322" t="s">
        <v>187</v>
      </c>
      <c r="L542" s="15">
        <v>1</v>
      </c>
    </row>
    <row r="543" spans="1:10" s="114" customFormat="1" ht="30" customHeight="1">
      <c r="A543" s="51" t="s">
        <v>18</v>
      </c>
      <c r="B543" s="87">
        <f>C543*1.19</f>
        <v>1.785</v>
      </c>
      <c r="C543" s="95">
        <v>1.5</v>
      </c>
      <c r="D543" s="152"/>
      <c r="E543" s="85"/>
      <c r="F543" s="85"/>
      <c r="G543" s="85"/>
      <c r="H543" s="258"/>
      <c r="I543" s="275"/>
      <c r="J543" s="9"/>
    </row>
    <row r="544" spans="1:11" ht="30" customHeight="1">
      <c r="A544" s="51" t="s">
        <v>63</v>
      </c>
      <c r="B544" s="95">
        <v>1.5</v>
      </c>
      <c r="C544" s="95">
        <v>1.5</v>
      </c>
      <c r="D544" s="152"/>
      <c r="E544" s="85"/>
      <c r="F544" s="85"/>
      <c r="G544" s="85"/>
      <c r="H544" s="258"/>
      <c r="I544" s="281"/>
      <c r="J544" s="9"/>
      <c r="K544" s="61"/>
    </row>
    <row r="545" spans="1:9" s="9" customFormat="1" ht="30" customHeight="1">
      <c r="A545" s="51" t="s">
        <v>86</v>
      </c>
      <c r="B545" s="95">
        <v>1.2</v>
      </c>
      <c r="C545" s="95">
        <v>1.2</v>
      </c>
      <c r="D545" s="152"/>
      <c r="E545" s="85"/>
      <c r="F545" s="85"/>
      <c r="G545" s="85"/>
      <c r="H545" s="258"/>
      <c r="I545" s="281"/>
    </row>
    <row r="546" spans="1:9" s="9" customFormat="1" ht="30" customHeight="1">
      <c r="A546" s="51" t="s">
        <v>17</v>
      </c>
      <c r="B546" s="35">
        <f>C546*1.25</f>
        <v>80</v>
      </c>
      <c r="C546" s="37">
        <v>64</v>
      </c>
      <c r="D546" s="38"/>
      <c r="E546" s="95"/>
      <c r="F546" s="95"/>
      <c r="G546" s="95"/>
      <c r="H546" s="296"/>
      <c r="I546" s="281"/>
    </row>
    <row r="547" spans="1:12" s="9" customFormat="1" ht="30" customHeight="1">
      <c r="A547" s="51" t="s">
        <v>16</v>
      </c>
      <c r="B547" s="37">
        <f>C547*1.33</f>
        <v>85.34166666666668</v>
      </c>
      <c r="C547" s="37">
        <v>64.16666666666667</v>
      </c>
      <c r="D547" s="38"/>
      <c r="E547" s="95"/>
      <c r="F547" s="95"/>
      <c r="G547" s="95"/>
      <c r="H547" s="296"/>
      <c r="I547" s="274"/>
      <c r="K547" s="335"/>
      <c r="L547" s="61"/>
    </row>
    <row r="548" spans="1:12" ht="30" customHeight="1">
      <c r="A548" s="51" t="s">
        <v>12</v>
      </c>
      <c r="B548" s="35">
        <f>C548*1.33</f>
        <v>57.63333333333334</v>
      </c>
      <c r="C548" s="37">
        <v>43.333333333333336</v>
      </c>
      <c r="D548" s="38"/>
      <c r="E548" s="95"/>
      <c r="F548" s="95"/>
      <c r="G548" s="95"/>
      <c r="H548" s="296"/>
      <c r="I548" s="274"/>
      <c r="J548" s="9"/>
      <c r="K548" s="335"/>
      <c r="L548" s="9"/>
    </row>
    <row r="549" spans="1:11" s="9" customFormat="1" ht="30" customHeight="1">
      <c r="A549" s="51" t="s">
        <v>13</v>
      </c>
      <c r="B549" s="35">
        <f>C549*1.43</f>
        <v>61.96666666666667</v>
      </c>
      <c r="C549" s="37">
        <v>43.333333333333336</v>
      </c>
      <c r="D549" s="38"/>
      <c r="E549" s="95"/>
      <c r="F549" s="95"/>
      <c r="G549" s="95"/>
      <c r="H549" s="296"/>
      <c r="I549" s="274"/>
      <c r="K549" s="335"/>
    </row>
    <row r="550" spans="1:11" s="9" customFormat="1" ht="30" customHeight="1">
      <c r="A550" s="53" t="s">
        <v>14</v>
      </c>
      <c r="B550" s="35">
        <f>C550*1.54</f>
        <v>66.73333333333333</v>
      </c>
      <c r="C550" s="37">
        <v>43.333333333333336</v>
      </c>
      <c r="D550" s="38"/>
      <c r="E550" s="95"/>
      <c r="F550" s="95"/>
      <c r="G550" s="95"/>
      <c r="H550" s="296"/>
      <c r="I550" s="274"/>
      <c r="K550" s="335"/>
    </row>
    <row r="551" spans="1:12" s="166" customFormat="1" ht="30" customHeight="1">
      <c r="A551" s="53" t="s">
        <v>15</v>
      </c>
      <c r="B551" s="35">
        <f>C551*1.67</f>
        <v>72.36666666666667</v>
      </c>
      <c r="C551" s="37">
        <v>43.333333333333336</v>
      </c>
      <c r="D551" s="38"/>
      <c r="E551" s="95"/>
      <c r="F551" s="95"/>
      <c r="G551" s="95"/>
      <c r="H551" s="296"/>
      <c r="I551" s="274"/>
      <c r="J551" s="9"/>
      <c r="K551" s="335"/>
      <c r="L551" s="9"/>
    </row>
    <row r="552" spans="1:11" s="9" customFormat="1" ht="30" customHeight="1">
      <c r="A552" s="51" t="s">
        <v>61</v>
      </c>
      <c r="B552" s="41">
        <f>C552*1.25</f>
        <v>12.5</v>
      </c>
      <c r="C552" s="37">
        <v>10</v>
      </c>
      <c r="D552" s="38"/>
      <c r="E552" s="95"/>
      <c r="F552" s="95"/>
      <c r="G552" s="95"/>
      <c r="H552" s="296"/>
      <c r="I552" s="274"/>
      <c r="K552" s="335"/>
    </row>
    <row r="553" spans="1:11" s="9" customFormat="1" ht="30" customHeight="1">
      <c r="A553" s="51" t="s">
        <v>16</v>
      </c>
      <c r="B553" s="41">
        <f>C553*1.33</f>
        <v>13.3</v>
      </c>
      <c r="C553" s="37">
        <v>10</v>
      </c>
      <c r="D553" s="38"/>
      <c r="E553" s="95"/>
      <c r="F553" s="95"/>
      <c r="G553" s="95"/>
      <c r="H553" s="296"/>
      <c r="I553" s="274"/>
      <c r="K553" s="335"/>
    </row>
    <row r="554" spans="1:11" s="9" customFormat="1" ht="30" customHeight="1">
      <c r="A554" s="53" t="s">
        <v>18</v>
      </c>
      <c r="B554" s="37">
        <f>C554*1.19</f>
        <v>12.891666666666667</v>
      </c>
      <c r="C554" s="35">
        <v>10.833333333333334</v>
      </c>
      <c r="D554" s="38"/>
      <c r="E554" s="95"/>
      <c r="F554" s="95"/>
      <c r="G554" s="95"/>
      <c r="H554" s="296"/>
      <c r="I554" s="274"/>
      <c r="K554" s="335"/>
    </row>
    <row r="555" spans="1:11" s="9" customFormat="1" ht="30" customHeight="1">
      <c r="A555" s="57" t="s">
        <v>54</v>
      </c>
      <c r="B555" s="35">
        <v>3</v>
      </c>
      <c r="C555" s="35">
        <v>3.3333333333333335</v>
      </c>
      <c r="D555" s="38"/>
      <c r="E555" s="95"/>
      <c r="F555" s="95"/>
      <c r="G555" s="95"/>
      <c r="H555" s="296"/>
      <c r="I555" s="274"/>
      <c r="K555" s="335"/>
    </row>
    <row r="556" spans="1:11" s="9" customFormat="1" ht="30" customHeight="1">
      <c r="A556" s="53" t="s">
        <v>19</v>
      </c>
      <c r="B556" s="35">
        <v>5</v>
      </c>
      <c r="C556" s="35">
        <v>5</v>
      </c>
      <c r="D556" s="38"/>
      <c r="E556" s="95"/>
      <c r="F556" s="95"/>
      <c r="G556" s="95"/>
      <c r="H556" s="296"/>
      <c r="I556" s="274"/>
      <c r="K556" s="335"/>
    </row>
    <row r="557" spans="1:11" s="9" customFormat="1" ht="30" customHeight="1">
      <c r="A557" s="53" t="s">
        <v>4</v>
      </c>
      <c r="B557" s="35">
        <v>1</v>
      </c>
      <c r="C557" s="35">
        <v>0.6</v>
      </c>
      <c r="D557" s="38"/>
      <c r="E557" s="95"/>
      <c r="F557" s="95"/>
      <c r="G557" s="95"/>
      <c r="H557" s="296"/>
      <c r="I557" s="274"/>
      <c r="K557" s="335"/>
    </row>
    <row r="558" spans="1:11" s="9" customFormat="1" ht="30" customHeight="1">
      <c r="A558" s="51" t="s">
        <v>57</v>
      </c>
      <c r="B558" s="5">
        <v>5</v>
      </c>
      <c r="C558" s="5">
        <v>5</v>
      </c>
      <c r="D558" s="38"/>
      <c r="E558" s="95"/>
      <c r="F558" s="95"/>
      <c r="G558" s="95"/>
      <c r="H558" s="296"/>
      <c r="I558" s="274"/>
      <c r="K558" s="335"/>
    </row>
    <row r="559" spans="1:11" s="9" customFormat="1" ht="30" customHeight="1">
      <c r="A559" s="53" t="s">
        <v>73</v>
      </c>
      <c r="B559" s="40">
        <v>0.2</v>
      </c>
      <c r="C559" s="40">
        <v>0.2</v>
      </c>
      <c r="D559" s="31"/>
      <c r="E559" s="85"/>
      <c r="F559" s="85"/>
      <c r="G559" s="85"/>
      <c r="H559" s="258"/>
      <c r="I559" s="274"/>
      <c r="K559" s="335"/>
    </row>
    <row r="560" spans="1:11" s="9" customFormat="1" ht="30" customHeight="1">
      <c r="A560" s="484" t="s">
        <v>242</v>
      </c>
      <c r="B560" s="484"/>
      <c r="C560" s="484"/>
      <c r="D560" s="21" t="s">
        <v>240</v>
      </c>
      <c r="E560" s="44">
        <v>13.3</v>
      </c>
      <c r="F560" s="44">
        <v>12.9</v>
      </c>
      <c r="G560" s="44">
        <v>10.8</v>
      </c>
      <c r="H560" s="43">
        <f>G560*4+F560*9+E560*4</f>
        <v>212.5</v>
      </c>
      <c r="I560" s="276" t="s">
        <v>238</v>
      </c>
      <c r="K560" s="335"/>
    </row>
    <row r="561" spans="1:11" s="9" customFormat="1" ht="30" customHeight="1">
      <c r="A561" s="86" t="s">
        <v>88</v>
      </c>
      <c r="B561" s="48">
        <f>C561*1.36</f>
        <v>91.12</v>
      </c>
      <c r="C561" s="5">
        <v>67</v>
      </c>
      <c r="D561" s="36"/>
      <c r="E561" s="95"/>
      <c r="F561" s="44"/>
      <c r="G561" s="44"/>
      <c r="H561" s="43"/>
      <c r="I561" s="275"/>
      <c r="K561" s="335"/>
    </row>
    <row r="562" spans="1:11" s="9" customFormat="1" ht="30" customHeight="1">
      <c r="A562" s="86" t="s">
        <v>89</v>
      </c>
      <c r="B562" s="48">
        <f>C562*1.18</f>
        <v>79.06</v>
      </c>
      <c r="C562" s="35">
        <v>67</v>
      </c>
      <c r="D562" s="36"/>
      <c r="E562" s="44"/>
      <c r="F562" s="44"/>
      <c r="G562" s="44"/>
      <c r="H562" s="43"/>
      <c r="I562" s="275"/>
      <c r="J562" s="114"/>
      <c r="K562" s="344"/>
    </row>
    <row r="563" spans="1:11" s="9" customFormat="1" ht="30" customHeight="1">
      <c r="A563" s="51" t="s">
        <v>10</v>
      </c>
      <c r="B563" s="5">
        <v>14</v>
      </c>
      <c r="C563" s="5">
        <v>14</v>
      </c>
      <c r="D563" s="36"/>
      <c r="E563" s="95"/>
      <c r="F563" s="44"/>
      <c r="G563" s="44"/>
      <c r="H563" s="43"/>
      <c r="I563" s="274"/>
      <c r="J563" s="114"/>
      <c r="K563" s="344"/>
    </row>
    <row r="564" spans="1:11" s="9" customFormat="1" ht="30" customHeight="1">
      <c r="A564" s="53" t="s">
        <v>241</v>
      </c>
      <c r="B564" s="36">
        <v>11</v>
      </c>
      <c r="C564" s="36">
        <v>11</v>
      </c>
      <c r="D564" s="36"/>
      <c r="E564" s="41"/>
      <c r="F564" s="41"/>
      <c r="G564" s="41"/>
      <c r="H564" s="41"/>
      <c r="I564" s="275"/>
      <c r="J564" s="114"/>
      <c r="K564" s="344"/>
    </row>
    <row r="565" spans="1:11" s="9" customFormat="1" ht="30" customHeight="1">
      <c r="A565" s="58" t="s">
        <v>38</v>
      </c>
      <c r="B565" s="89">
        <f>B564*460/1000</f>
        <v>5.06</v>
      </c>
      <c r="C565" s="89">
        <f>C564*460/1000</f>
        <v>5.06</v>
      </c>
      <c r="D565" s="36"/>
      <c r="E565" s="95"/>
      <c r="F565" s="95"/>
      <c r="G565" s="95"/>
      <c r="H565" s="95"/>
      <c r="I565" s="274"/>
      <c r="K565" s="335"/>
    </row>
    <row r="566" spans="1:11" s="9" customFormat="1" ht="30" customHeight="1">
      <c r="A566" s="58" t="s">
        <v>39</v>
      </c>
      <c r="B566" s="89">
        <f>B564*120/1000</f>
        <v>1.32</v>
      </c>
      <c r="C566" s="89">
        <f>C564*120/1000</f>
        <v>1.32</v>
      </c>
      <c r="D566" s="36"/>
      <c r="E566" s="95"/>
      <c r="F566" s="95"/>
      <c r="G566" s="95"/>
      <c r="H566" s="95"/>
      <c r="I566" s="274"/>
      <c r="K566" s="335"/>
    </row>
    <row r="567" spans="1:11" s="9" customFormat="1" ht="30" customHeight="1">
      <c r="A567" s="190" t="s">
        <v>155</v>
      </c>
      <c r="B567" s="191">
        <f>B564-B565</f>
        <v>5.94</v>
      </c>
      <c r="C567" s="191">
        <f>C564-C565</f>
        <v>5.94</v>
      </c>
      <c r="D567" s="36"/>
      <c r="E567" s="95"/>
      <c r="F567" s="95"/>
      <c r="G567" s="95"/>
      <c r="H567" s="95"/>
      <c r="I567" s="274"/>
      <c r="K567" s="335"/>
    </row>
    <row r="568" spans="1:13" s="9" customFormat="1" ht="30" customHeight="1">
      <c r="A568" s="190" t="s">
        <v>156</v>
      </c>
      <c r="B568" s="191">
        <f>B564-B566</f>
        <v>9.68</v>
      </c>
      <c r="C568" s="191">
        <f>C564-C566</f>
        <v>9.68</v>
      </c>
      <c r="D568" s="36"/>
      <c r="E568" s="95"/>
      <c r="F568" s="95"/>
      <c r="G568" s="95"/>
      <c r="H568" s="95"/>
      <c r="I568" s="274"/>
      <c r="J568" s="61"/>
      <c r="K568" s="334"/>
      <c r="L568" s="61"/>
      <c r="M568" s="61"/>
    </row>
    <row r="569" spans="1:11" s="9" customFormat="1" ht="30" customHeight="1">
      <c r="A569" s="53" t="s">
        <v>18</v>
      </c>
      <c r="B569" s="37">
        <f>C569*1.19</f>
        <v>8.33</v>
      </c>
      <c r="C569" s="36">
        <v>7</v>
      </c>
      <c r="D569" s="36"/>
      <c r="E569" s="95"/>
      <c r="F569" s="44"/>
      <c r="G569" s="44"/>
      <c r="H569" s="294"/>
      <c r="I569" s="274"/>
      <c r="K569" s="335"/>
    </row>
    <row r="570" spans="1:11" s="9" customFormat="1" ht="30" customHeight="1">
      <c r="A570" s="53" t="s">
        <v>86</v>
      </c>
      <c r="B570" s="234">
        <v>3.5</v>
      </c>
      <c r="C570" s="234">
        <v>3.5</v>
      </c>
      <c r="D570" s="36"/>
      <c r="E570" s="95"/>
      <c r="F570" s="95"/>
      <c r="G570" s="95"/>
      <c r="H570" s="266"/>
      <c r="I570" s="274"/>
      <c r="K570" s="335"/>
    </row>
    <row r="571" spans="1:11" s="9" customFormat="1" ht="30" customHeight="1">
      <c r="A571" s="53" t="s">
        <v>172</v>
      </c>
      <c r="B571" s="234">
        <v>7</v>
      </c>
      <c r="C571" s="234">
        <v>7</v>
      </c>
      <c r="D571" s="36"/>
      <c r="E571" s="95"/>
      <c r="F571" s="95"/>
      <c r="G571" s="95"/>
      <c r="H571" s="266"/>
      <c r="I571" s="274"/>
      <c r="K571" s="335"/>
    </row>
    <row r="572" spans="1:11" s="9" customFormat="1" ht="30" customHeight="1">
      <c r="A572" s="51" t="s">
        <v>11</v>
      </c>
      <c r="B572" s="5">
        <v>2</v>
      </c>
      <c r="C572" s="5">
        <v>2</v>
      </c>
      <c r="D572" s="36"/>
      <c r="E572" s="95"/>
      <c r="F572" s="44"/>
      <c r="G572" s="44"/>
      <c r="H572" s="43"/>
      <c r="I572" s="274"/>
      <c r="K572" s="335"/>
    </row>
    <row r="573" spans="1:11" s="9" customFormat="1" ht="30" customHeight="1">
      <c r="A573" s="51" t="s">
        <v>37</v>
      </c>
      <c r="B573" s="5">
        <v>5</v>
      </c>
      <c r="C573" s="5">
        <v>5</v>
      </c>
      <c r="D573" s="187"/>
      <c r="E573" s="95"/>
      <c r="F573" s="95"/>
      <c r="G573" s="95"/>
      <c r="H573" s="296"/>
      <c r="I573" s="274"/>
      <c r="K573" s="335"/>
    </row>
    <row r="574" spans="1:11" s="9" customFormat="1" ht="30" customHeight="1">
      <c r="A574" s="477" t="s">
        <v>307</v>
      </c>
      <c r="B574" s="478"/>
      <c r="C574" s="478"/>
      <c r="D574" s="21">
        <v>150</v>
      </c>
      <c r="E574" s="44">
        <v>3.7</v>
      </c>
      <c r="F574" s="44">
        <v>3.6</v>
      </c>
      <c r="G574" s="44">
        <v>34.1</v>
      </c>
      <c r="H574" s="43">
        <f>G574*4+F574*9+E574*4</f>
        <v>183.60000000000002</v>
      </c>
      <c r="I574" s="276" t="s">
        <v>308</v>
      </c>
      <c r="K574" s="335"/>
    </row>
    <row r="575" spans="1:11" s="9" customFormat="1" ht="30" customHeight="1">
      <c r="A575" s="53" t="s">
        <v>23</v>
      </c>
      <c r="B575" s="5">
        <v>54</v>
      </c>
      <c r="C575" s="5">
        <v>54</v>
      </c>
      <c r="D575" s="36"/>
      <c r="E575" s="95"/>
      <c r="F575" s="95"/>
      <c r="G575" s="95"/>
      <c r="H575" s="296"/>
      <c r="I575" s="274"/>
      <c r="K575" s="335"/>
    </row>
    <row r="576" spans="1:11" s="9" customFormat="1" ht="30" customHeight="1">
      <c r="A576" s="53" t="s">
        <v>63</v>
      </c>
      <c r="B576" s="5">
        <f>B575*6</f>
        <v>324</v>
      </c>
      <c r="C576" s="5">
        <f>C575*6</f>
        <v>324</v>
      </c>
      <c r="D576" s="36"/>
      <c r="E576" s="95"/>
      <c r="F576" s="95"/>
      <c r="G576" s="95"/>
      <c r="H576" s="296"/>
      <c r="I576" s="274"/>
      <c r="K576" s="335"/>
    </row>
    <row r="577" spans="1:11" s="9" customFormat="1" ht="30" customHeight="1">
      <c r="A577" s="53" t="s">
        <v>19</v>
      </c>
      <c r="B577" s="5">
        <v>4</v>
      </c>
      <c r="C577" s="5">
        <v>4</v>
      </c>
      <c r="D577" s="36"/>
      <c r="E577" s="95"/>
      <c r="F577" s="95"/>
      <c r="G577" s="95"/>
      <c r="H577" s="296"/>
      <c r="I577" s="274"/>
      <c r="K577" s="335"/>
    </row>
    <row r="578" spans="1:12" s="114" customFormat="1" ht="30" customHeight="1">
      <c r="A578" s="494" t="s">
        <v>309</v>
      </c>
      <c r="B578" s="495"/>
      <c r="C578" s="495"/>
      <c r="D578" s="39">
        <v>200</v>
      </c>
      <c r="E578" s="380">
        <v>0.7</v>
      </c>
      <c r="F578" s="380">
        <v>0.3</v>
      </c>
      <c r="G578" s="380">
        <v>17.1</v>
      </c>
      <c r="H578" s="256">
        <f>G578*4+F578*9+E578*4</f>
        <v>73.9</v>
      </c>
      <c r="I578" s="290" t="s">
        <v>310</v>
      </c>
      <c r="J578" s="9"/>
      <c r="K578" s="335"/>
      <c r="L578" s="61"/>
    </row>
    <row r="579" spans="1:12" s="114" customFormat="1" ht="30" customHeight="1">
      <c r="A579" s="53" t="s">
        <v>77</v>
      </c>
      <c r="B579" s="36">
        <v>25</v>
      </c>
      <c r="C579" s="36">
        <v>25</v>
      </c>
      <c r="D579" s="39"/>
      <c r="E579" s="381"/>
      <c r="F579" s="381"/>
      <c r="G579" s="381"/>
      <c r="H579" s="381"/>
      <c r="I579" s="278"/>
      <c r="J579" s="166"/>
      <c r="K579" s="345"/>
      <c r="L579" s="61"/>
    </row>
    <row r="580" spans="1:12" s="114" customFormat="1" ht="30" customHeight="1">
      <c r="A580" s="53" t="s">
        <v>4</v>
      </c>
      <c r="B580" s="36">
        <v>10</v>
      </c>
      <c r="C580" s="36">
        <v>10</v>
      </c>
      <c r="D580" s="36"/>
      <c r="E580" s="41"/>
      <c r="F580" s="41"/>
      <c r="G580" s="41"/>
      <c r="H580" s="36"/>
      <c r="I580" s="275"/>
      <c r="J580" s="9"/>
      <c r="K580" s="335"/>
      <c r="L580" s="9"/>
    </row>
    <row r="581" spans="1:11" s="9" customFormat="1" ht="30" customHeight="1">
      <c r="A581" s="354" t="s">
        <v>20</v>
      </c>
      <c r="B581" s="25">
        <v>40</v>
      </c>
      <c r="C581" s="25">
        <v>40</v>
      </c>
      <c r="D581" s="39">
        <v>40</v>
      </c>
      <c r="E581" s="366">
        <v>1.8666666666666667</v>
      </c>
      <c r="F581" s="366">
        <v>0.4</v>
      </c>
      <c r="G581" s="366">
        <v>17.466666666666665</v>
      </c>
      <c r="H581" s="367">
        <v>81.06666666666666</v>
      </c>
      <c r="I581" s="368"/>
      <c r="K581" s="335"/>
    </row>
    <row r="582" spans="1:9" ht="30" customHeight="1">
      <c r="A582" s="477" t="s">
        <v>75</v>
      </c>
      <c r="B582" s="478"/>
      <c r="C582" s="478"/>
      <c r="D582" s="77">
        <v>40</v>
      </c>
      <c r="E582" s="95"/>
      <c r="F582" s="95"/>
      <c r="G582" s="95"/>
      <c r="H582" s="95"/>
      <c r="I582" s="274"/>
    </row>
    <row r="583" spans="1:9" ht="30" customHeight="1">
      <c r="A583" s="149" t="s">
        <v>26</v>
      </c>
      <c r="B583" s="36">
        <v>40</v>
      </c>
      <c r="C583" s="36">
        <v>40</v>
      </c>
      <c r="D583" s="23">
        <v>40</v>
      </c>
      <c r="E583" s="110">
        <v>1.4</v>
      </c>
      <c r="F583" s="110">
        <v>0.2</v>
      </c>
      <c r="G583" s="110">
        <v>18.8</v>
      </c>
      <c r="H583" s="256">
        <v>82.6</v>
      </c>
      <c r="I583" s="382"/>
    </row>
    <row r="584" spans="1:9" ht="30" customHeight="1">
      <c r="A584" s="475" t="s">
        <v>24</v>
      </c>
      <c r="B584" s="475"/>
      <c r="C584" s="475"/>
      <c r="D584" s="475"/>
      <c r="E584" s="99">
        <f>E533+E507</f>
        <v>39.86666666666666</v>
      </c>
      <c r="F584" s="99">
        <f>F533+F507</f>
        <v>42.3</v>
      </c>
      <c r="G584" s="99">
        <f>G533+G507</f>
        <v>196.36666666666667</v>
      </c>
      <c r="H584" s="96">
        <f>H533+H507</f>
        <v>1324.8666666666668</v>
      </c>
      <c r="I584" s="274"/>
    </row>
    <row r="585" spans="1:8" ht="30" customHeight="1">
      <c r="A585" s="473" t="s">
        <v>196</v>
      </c>
      <c r="B585" s="474"/>
      <c r="C585" s="474"/>
      <c r="D585" s="474"/>
      <c r="E585" s="383">
        <f>(E101+E201+E294+E414+E503+E584)/6</f>
        <v>45.02033333333333</v>
      </c>
      <c r="F585" s="383">
        <f>(F101+F201+F294+F414+F503+F584)/6</f>
        <v>45.270833333333336</v>
      </c>
      <c r="G585" s="383">
        <f>(G101+G201+G294+G414+G503+G584)/6</f>
        <v>181.75944444444448</v>
      </c>
      <c r="H585" s="383">
        <f>(H101+H201+H294+H414+H503+H584)/6</f>
        <v>1314.1788333333332</v>
      </c>
    </row>
    <row r="586" spans="1:11" s="9" customFormat="1" ht="30" customHeight="1">
      <c r="A586" s="473" t="s">
        <v>192</v>
      </c>
      <c r="B586" s="474"/>
      <c r="C586" s="474"/>
      <c r="D586" s="474"/>
      <c r="E586" s="383" t="s">
        <v>193</v>
      </c>
      <c r="F586" s="383" t="s">
        <v>194</v>
      </c>
      <c r="G586" s="383" t="s">
        <v>195</v>
      </c>
      <c r="H586" s="383" t="s">
        <v>164</v>
      </c>
      <c r="I586" s="275"/>
      <c r="K586" s="335"/>
    </row>
    <row r="587" spans="1:11" s="9" customFormat="1" ht="30" customHeight="1">
      <c r="A587" s="473" t="s">
        <v>502</v>
      </c>
      <c r="B587" s="474"/>
      <c r="C587" s="474"/>
      <c r="D587" s="474"/>
      <c r="E587" s="383">
        <v>77</v>
      </c>
      <c r="F587" s="383">
        <v>79</v>
      </c>
      <c r="G587" s="383">
        <v>335</v>
      </c>
      <c r="H587" s="383">
        <v>2350</v>
      </c>
      <c r="I587" s="275"/>
      <c r="K587" s="335"/>
    </row>
    <row r="588" spans="1:9" ht="30" customHeight="1">
      <c r="A588" s="490" t="s">
        <v>46</v>
      </c>
      <c r="B588" s="490"/>
      <c r="C588" s="490"/>
      <c r="D588" s="490"/>
      <c r="E588" s="490"/>
      <c r="F588" s="490"/>
      <c r="G588" s="490"/>
      <c r="H588" s="490"/>
      <c r="I588" s="490"/>
    </row>
    <row r="589" spans="1:11" s="9" customFormat="1" ht="30" customHeight="1">
      <c r="A589" s="487" t="s">
        <v>0</v>
      </c>
      <c r="B589" s="476" t="s">
        <v>6</v>
      </c>
      <c r="C589" s="476" t="s">
        <v>7</v>
      </c>
      <c r="D589" s="487" t="s">
        <v>5</v>
      </c>
      <c r="E589" s="487"/>
      <c r="F589" s="487"/>
      <c r="G589" s="487"/>
      <c r="H589" s="487"/>
      <c r="I589" s="487"/>
      <c r="K589" s="335"/>
    </row>
    <row r="590" spans="1:9" ht="30" customHeight="1">
      <c r="A590" s="487"/>
      <c r="B590" s="476"/>
      <c r="C590" s="476"/>
      <c r="D590" s="138" t="s">
        <v>8</v>
      </c>
      <c r="E590" s="301" t="s">
        <v>1</v>
      </c>
      <c r="F590" s="301" t="s">
        <v>2</v>
      </c>
      <c r="G590" s="301" t="s">
        <v>9</v>
      </c>
      <c r="H590" s="300" t="s">
        <v>3</v>
      </c>
      <c r="I590" s="302" t="s">
        <v>199</v>
      </c>
    </row>
    <row r="591" spans="1:8" ht="30" customHeight="1">
      <c r="A591" s="479" t="s">
        <v>109</v>
      </c>
      <c r="B591" s="479"/>
      <c r="C591" s="479"/>
      <c r="D591" s="263">
        <f>35+D595+D623+207+D645</f>
        <v>682</v>
      </c>
      <c r="E591" s="99">
        <f>E592+E595+E623+E640+E644+E645</f>
        <v>19.5</v>
      </c>
      <c r="F591" s="99">
        <f>F592+F595+F623+F640+F644+F645</f>
        <v>21.4</v>
      </c>
      <c r="G591" s="99">
        <f>G592+G595+G623+G640+G644+G645</f>
        <v>71.1</v>
      </c>
      <c r="H591" s="99">
        <f>H592+H595+H623+H640+H644+H645</f>
        <v>554.0999999999999</v>
      </c>
    </row>
    <row r="592" spans="1:11" s="9" customFormat="1" ht="30" customHeight="1">
      <c r="A592" s="491" t="s">
        <v>290</v>
      </c>
      <c r="B592" s="478"/>
      <c r="C592" s="478"/>
      <c r="D592" s="33" t="s">
        <v>493</v>
      </c>
      <c r="E592" s="45">
        <v>2.4</v>
      </c>
      <c r="F592" s="45">
        <v>5.6</v>
      </c>
      <c r="G592" s="45">
        <v>10.8</v>
      </c>
      <c r="H592" s="43">
        <f>G592*4+F592*9+E592*4</f>
        <v>103.19999999999999</v>
      </c>
      <c r="I592" s="240" t="s">
        <v>291</v>
      </c>
      <c r="K592" s="335"/>
    </row>
    <row r="593" spans="1:11" s="9" customFormat="1" ht="30" customHeight="1">
      <c r="A593" s="53" t="s">
        <v>133</v>
      </c>
      <c r="B593" s="36">
        <v>20</v>
      </c>
      <c r="C593" s="36">
        <v>20</v>
      </c>
      <c r="D593" s="36"/>
      <c r="E593" s="95"/>
      <c r="F593" s="95"/>
      <c r="G593" s="95"/>
      <c r="H593" s="95"/>
      <c r="I593" s="95"/>
      <c r="K593" s="335"/>
    </row>
    <row r="594" spans="1:11" s="9" customFormat="1" ht="30" customHeight="1">
      <c r="A594" s="53" t="s">
        <v>122</v>
      </c>
      <c r="B594" s="36">
        <v>16</v>
      </c>
      <c r="C594" s="36">
        <v>15</v>
      </c>
      <c r="D594" s="36"/>
      <c r="E594" s="95"/>
      <c r="F594" s="44"/>
      <c r="G594" s="44"/>
      <c r="H594" s="43"/>
      <c r="I594" s="274"/>
      <c r="K594" s="335"/>
    </row>
    <row r="595" spans="1:11" s="9" customFormat="1" ht="30" customHeight="1">
      <c r="A595" s="482" t="s">
        <v>426</v>
      </c>
      <c r="B595" s="482"/>
      <c r="C595" s="482"/>
      <c r="D595" s="23">
        <v>90</v>
      </c>
      <c r="E595" s="44">
        <v>12.6</v>
      </c>
      <c r="F595" s="44">
        <v>11.6</v>
      </c>
      <c r="G595" s="44">
        <v>6.2</v>
      </c>
      <c r="H595" s="433">
        <f>E595*4+F595*9+G595*4</f>
        <v>179.6</v>
      </c>
      <c r="I595" s="240" t="s">
        <v>425</v>
      </c>
      <c r="K595" s="336" t="s">
        <v>46</v>
      </c>
    </row>
    <row r="596" spans="1:12" s="9" customFormat="1" ht="30" customHeight="1">
      <c r="A596" s="55" t="s">
        <v>113</v>
      </c>
      <c r="B596" s="48">
        <f>C596*2.32</f>
        <v>74.24</v>
      </c>
      <c r="C596" s="29">
        <v>32</v>
      </c>
      <c r="D596" s="74"/>
      <c r="E596" s="107"/>
      <c r="F596" s="107"/>
      <c r="G596" s="107"/>
      <c r="H596" s="107"/>
      <c r="I596" s="107"/>
      <c r="K596" s="322" t="s">
        <v>26</v>
      </c>
      <c r="L596" s="2">
        <f>D727+C644</f>
        <v>60</v>
      </c>
    </row>
    <row r="597" spans="1:12" s="9" customFormat="1" ht="30" customHeight="1">
      <c r="A597" s="115" t="s">
        <v>157</v>
      </c>
      <c r="B597" s="48">
        <f>C597*1.34</f>
        <v>42.88</v>
      </c>
      <c r="C597" s="418" t="s">
        <v>489</v>
      </c>
      <c r="D597" s="74"/>
      <c r="E597" s="420"/>
      <c r="F597" s="420"/>
      <c r="G597" s="420"/>
      <c r="H597" s="420"/>
      <c r="I597" s="246"/>
      <c r="K597" s="322" t="s">
        <v>131</v>
      </c>
      <c r="L597" s="19">
        <f>C693+D725+C593+C601</f>
        <v>88</v>
      </c>
    </row>
    <row r="598" spans="1:12" s="9" customFormat="1" ht="30" customHeight="1">
      <c r="A598" s="115" t="s">
        <v>130</v>
      </c>
      <c r="B598" s="48">
        <f>C598*1.054</f>
        <v>33.728</v>
      </c>
      <c r="C598" s="418" t="s">
        <v>489</v>
      </c>
      <c r="D598" s="74"/>
      <c r="E598" s="420"/>
      <c r="F598" s="95"/>
      <c r="G598" s="95"/>
      <c r="H598" s="87"/>
      <c r="I598" s="246"/>
      <c r="K598" s="322" t="s">
        <v>161</v>
      </c>
      <c r="L598" s="19">
        <f>C719+C701</f>
        <v>8.5</v>
      </c>
    </row>
    <row r="599" spans="1:12" s="9" customFormat="1" ht="30" customHeight="1">
      <c r="A599" s="86" t="s">
        <v>88</v>
      </c>
      <c r="B599" s="48">
        <f>C599*1.36</f>
        <v>43.52</v>
      </c>
      <c r="C599" s="5">
        <v>32</v>
      </c>
      <c r="D599" s="74"/>
      <c r="E599" s="95"/>
      <c r="F599" s="44"/>
      <c r="G599" s="44"/>
      <c r="H599" s="43"/>
      <c r="I599" s="275"/>
      <c r="K599" s="322" t="s">
        <v>67</v>
      </c>
      <c r="L599" s="19"/>
    </row>
    <row r="600" spans="1:12" s="9" customFormat="1" ht="30" customHeight="1">
      <c r="A600" s="86" t="s">
        <v>89</v>
      </c>
      <c r="B600" s="48">
        <f>C600*1.18</f>
        <v>37.76</v>
      </c>
      <c r="C600" s="29">
        <v>32</v>
      </c>
      <c r="D600" s="74"/>
      <c r="E600" s="107"/>
      <c r="F600" s="107"/>
      <c r="G600" s="107"/>
      <c r="H600" s="107"/>
      <c r="I600" s="107"/>
      <c r="K600" s="322" t="s">
        <v>66</v>
      </c>
      <c r="L600" s="19">
        <f>C669</f>
        <v>20</v>
      </c>
    </row>
    <row r="601" spans="1:12" s="9" customFormat="1" ht="30" customHeight="1">
      <c r="A601" s="56" t="s">
        <v>423</v>
      </c>
      <c r="B601" s="87">
        <v>14</v>
      </c>
      <c r="C601" s="296">
        <v>14</v>
      </c>
      <c r="D601" s="74"/>
      <c r="E601" s="107"/>
      <c r="F601" s="107"/>
      <c r="G601" s="107"/>
      <c r="H601" s="107"/>
      <c r="I601" s="107"/>
      <c r="K601" s="322" t="s">
        <v>27</v>
      </c>
      <c r="L601" s="19">
        <f>C712+C625</f>
        <v>158</v>
      </c>
    </row>
    <row r="602" spans="1:12" s="9" customFormat="1" ht="30" customHeight="1">
      <c r="A602" s="56" t="s">
        <v>86</v>
      </c>
      <c r="B602" s="37">
        <v>8</v>
      </c>
      <c r="C602" s="37">
        <v>8</v>
      </c>
      <c r="D602" s="74"/>
      <c r="E602" s="107"/>
      <c r="F602" s="95"/>
      <c r="G602" s="95"/>
      <c r="H602" s="87"/>
      <c r="I602" s="236"/>
      <c r="K602" s="322" t="s">
        <v>210</v>
      </c>
      <c r="L602" s="19">
        <f>C670+C672+C648+C699+C710+C716+C705+C706+C650+C636+C638</f>
        <v>272</v>
      </c>
    </row>
    <row r="603" spans="1:12" s="9" customFormat="1" ht="30" customHeight="1">
      <c r="A603" s="54" t="s">
        <v>52</v>
      </c>
      <c r="B603" s="37">
        <v>18</v>
      </c>
      <c r="C603" s="36">
        <v>18</v>
      </c>
      <c r="D603" s="74"/>
      <c r="E603" s="434"/>
      <c r="F603" s="41"/>
      <c r="G603" s="376"/>
      <c r="H603" s="435"/>
      <c r="I603" s="436"/>
      <c r="K603" s="322" t="s">
        <v>28</v>
      </c>
      <c r="L603" s="18">
        <f>C643+D645</f>
        <v>157</v>
      </c>
    </row>
    <row r="604" spans="1:12" s="9" customFormat="1" ht="30" customHeight="1">
      <c r="A604" s="58" t="s">
        <v>38</v>
      </c>
      <c r="B604" s="89">
        <f>B603*460/1000</f>
        <v>8.28</v>
      </c>
      <c r="C604" s="89">
        <f>C603*460/1000</f>
        <v>8.28</v>
      </c>
      <c r="D604" s="74"/>
      <c r="E604" s="95"/>
      <c r="F604" s="95"/>
      <c r="G604" s="95"/>
      <c r="H604" s="296"/>
      <c r="I604" s="275"/>
      <c r="K604" s="322" t="s">
        <v>177</v>
      </c>
      <c r="L604" s="19"/>
    </row>
    <row r="605" spans="1:12" s="9" customFormat="1" ht="30" customHeight="1">
      <c r="A605" s="58" t="s">
        <v>39</v>
      </c>
      <c r="B605" s="89">
        <f>B603*120/1000</f>
        <v>2.16</v>
      </c>
      <c r="C605" s="89">
        <f>C603*120/1000</f>
        <v>2.16</v>
      </c>
      <c r="D605" s="74"/>
      <c r="E605" s="95"/>
      <c r="F605" s="95"/>
      <c r="G605" s="95"/>
      <c r="H605" s="296"/>
      <c r="I605" s="275"/>
      <c r="K605" s="322" t="s">
        <v>211</v>
      </c>
      <c r="L605" s="19">
        <f>C642</f>
        <v>15</v>
      </c>
    </row>
    <row r="606" spans="1:12" s="9" customFormat="1" ht="30" customHeight="1">
      <c r="A606" s="190" t="s">
        <v>155</v>
      </c>
      <c r="B606" s="191">
        <f>B603-B604</f>
        <v>9.72</v>
      </c>
      <c r="C606" s="191">
        <f>C603-C604</f>
        <v>9.72</v>
      </c>
      <c r="D606" s="74"/>
      <c r="E606" s="432"/>
      <c r="F606" s="432"/>
      <c r="G606" s="432"/>
      <c r="H606" s="431"/>
      <c r="I606" s="275"/>
      <c r="K606" s="322" t="s">
        <v>375</v>
      </c>
      <c r="L606" s="2">
        <f>C720</f>
        <v>200</v>
      </c>
    </row>
    <row r="607" spans="1:13" s="9" customFormat="1" ht="30" customHeight="1">
      <c r="A607" s="190" t="s">
        <v>156</v>
      </c>
      <c r="B607" s="191">
        <f>B603-B605</f>
        <v>15.84</v>
      </c>
      <c r="C607" s="191">
        <f>C603-C605</f>
        <v>15.84</v>
      </c>
      <c r="D607" s="74"/>
      <c r="E607" s="432"/>
      <c r="F607" s="432"/>
      <c r="G607" s="432"/>
      <c r="H607" s="431"/>
      <c r="I607" s="275"/>
      <c r="J607" s="61"/>
      <c r="K607" s="337" t="s">
        <v>29</v>
      </c>
      <c r="L607" s="18"/>
      <c r="M607" s="61"/>
    </row>
    <row r="608" spans="1:12" s="9" customFormat="1" ht="30" customHeight="1">
      <c r="A608" s="57" t="s">
        <v>424</v>
      </c>
      <c r="B608" s="35">
        <v>2</v>
      </c>
      <c r="C608" s="35">
        <v>2</v>
      </c>
      <c r="D608" s="74"/>
      <c r="E608" s="107"/>
      <c r="F608" s="94"/>
      <c r="G608" s="94"/>
      <c r="H608" s="437"/>
      <c r="I608" s="438"/>
      <c r="K608" s="322" t="s">
        <v>71</v>
      </c>
      <c r="L608" s="2"/>
    </row>
    <row r="609" spans="1:12" s="9" customFormat="1" ht="30" customHeight="1">
      <c r="A609" s="481" t="s">
        <v>70</v>
      </c>
      <c r="B609" s="481"/>
      <c r="C609" s="481"/>
      <c r="D609" s="481"/>
      <c r="E609" s="481"/>
      <c r="F609" s="481"/>
      <c r="G609" s="481"/>
      <c r="H609" s="481"/>
      <c r="I609" s="481"/>
      <c r="K609" s="322" t="s">
        <v>189</v>
      </c>
      <c r="L609" s="2"/>
    </row>
    <row r="610" spans="1:11" s="9" customFormat="1" ht="30" customHeight="1">
      <c r="A610" s="484" t="s">
        <v>468</v>
      </c>
      <c r="B610" s="484"/>
      <c r="C610" s="484"/>
      <c r="D610" s="21">
        <v>90</v>
      </c>
      <c r="E610" s="44">
        <v>12.8</v>
      </c>
      <c r="F610" s="44">
        <v>9.9</v>
      </c>
      <c r="G610" s="44">
        <v>10.8</v>
      </c>
      <c r="H610" s="43">
        <f>G610*4+F610*9+E610*4</f>
        <v>183.5</v>
      </c>
      <c r="I610" s="276" t="s">
        <v>238</v>
      </c>
      <c r="K610" s="322" t="s">
        <v>190</v>
      </c>
    </row>
    <row r="611" spans="1:12" s="9" customFormat="1" ht="30" customHeight="1">
      <c r="A611" s="86" t="s">
        <v>88</v>
      </c>
      <c r="B611" s="48">
        <f>C611*1.36</f>
        <v>91.12</v>
      </c>
      <c r="C611" s="5">
        <v>67</v>
      </c>
      <c r="D611" s="36"/>
      <c r="E611" s="95"/>
      <c r="F611" s="44"/>
      <c r="G611" s="44"/>
      <c r="H611" s="43"/>
      <c r="I611" s="275"/>
      <c r="K611" s="338" t="s">
        <v>30</v>
      </c>
      <c r="L611" s="2">
        <f>C641</f>
        <v>1</v>
      </c>
    </row>
    <row r="612" spans="1:12" s="9" customFormat="1" ht="30" customHeight="1">
      <c r="A612" s="86" t="s">
        <v>89</v>
      </c>
      <c r="B612" s="48">
        <f>C612*1.18</f>
        <v>79.06</v>
      </c>
      <c r="C612" s="35">
        <v>67</v>
      </c>
      <c r="D612" s="36"/>
      <c r="E612" s="44"/>
      <c r="F612" s="44"/>
      <c r="G612" s="44"/>
      <c r="H612" s="43"/>
      <c r="I612" s="275"/>
      <c r="K612" s="322" t="s">
        <v>179</v>
      </c>
      <c r="L612" s="19">
        <f>C691+C599</f>
        <v>99</v>
      </c>
    </row>
    <row r="613" spans="1:12" s="9" customFormat="1" ht="30" customHeight="1">
      <c r="A613" s="51" t="s">
        <v>10</v>
      </c>
      <c r="B613" s="5">
        <v>14</v>
      </c>
      <c r="C613" s="5">
        <v>14</v>
      </c>
      <c r="D613" s="36"/>
      <c r="E613" s="95"/>
      <c r="F613" s="44"/>
      <c r="G613" s="44"/>
      <c r="H613" s="43"/>
      <c r="I613" s="274"/>
      <c r="K613" s="322" t="s">
        <v>181</v>
      </c>
      <c r="L613" s="19">
        <f>C596+C655</f>
        <v>46</v>
      </c>
    </row>
    <row r="614" spans="1:12" s="9" customFormat="1" ht="30" customHeight="1">
      <c r="A614" s="53" t="s">
        <v>241</v>
      </c>
      <c r="B614" s="36">
        <v>11</v>
      </c>
      <c r="C614" s="36">
        <v>11</v>
      </c>
      <c r="D614" s="36"/>
      <c r="E614" s="41"/>
      <c r="F614" s="41"/>
      <c r="G614" s="41"/>
      <c r="H614" s="41"/>
      <c r="I614" s="275"/>
      <c r="K614" s="322" t="s">
        <v>180</v>
      </c>
      <c r="L614" s="19"/>
    </row>
    <row r="615" spans="1:12" s="9" customFormat="1" ht="30" customHeight="1">
      <c r="A615" s="58" t="s">
        <v>38</v>
      </c>
      <c r="B615" s="89">
        <f>B614*460/1000</f>
        <v>5.06</v>
      </c>
      <c r="C615" s="89">
        <f>C614*460/1000</f>
        <v>5.06</v>
      </c>
      <c r="D615" s="36"/>
      <c r="E615" s="95"/>
      <c r="F615" s="95"/>
      <c r="G615" s="95"/>
      <c r="H615" s="95"/>
      <c r="I615" s="274"/>
      <c r="K615" s="322" t="s">
        <v>182</v>
      </c>
      <c r="L615" s="19"/>
    </row>
    <row r="616" spans="1:12" s="9" customFormat="1" ht="30" customHeight="1">
      <c r="A616" s="58" t="s">
        <v>39</v>
      </c>
      <c r="B616" s="89">
        <f>B614*120/1000</f>
        <v>1.32</v>
      </c>
      <c r="C616" s="89">
        <f>C614*120/1000</f>
        <v>1.32</v>
      </c>
      <c r="D616" s="36"/>
      <c r="E616" s="95"/>
      <c r="F616" s="95"/>
      <c r="G616" s="95"/>
      <c r="H616" s="95"/>
      <c r="I616" s="274"/>
      <c r="K616" s="327" t="s">
        <v>82</v>
      </c>
      <c r="L616" s="19">
        <f>C629+C694+C603</f>
        <v>52</v>
      </c>
    </row>
    <row r="617" spans="1:12" s="9" customFormat="1" ht="30" customHeight="1">
      <c r="A617" s="190" t="s">
        <v>155</v>
      </c>
      <c r="B617" s="191">
        <f>B614-B615</f>
        <v>5.94</v>
      </c>
      <c r="C617" s="191">
        <f>C614-C615</f>
        <v>5.94</v>
      </c>
      <c r="D617" s="36"/>
      <c r="E617" s="95"/>
      <c r="F617" s="95"/>
      <c r="G617" s="95"/>
      <c r="H617" s="95"/>
      <c r="I617" s="274"/>
      <c r="K617" s="329" t="s">
        <v>183</v>
      </c>
      <c r="L617" s="19"/>
    </row>
    <row r="618" spans="1:12" s="9" customFormat="1" ht="30" customHeight="1">
      <c r="A618" s="190" t="s">
        <v>156</v>
      </c>
      <c r="B618" s="191">
        <f>B614-B616</f>
        <v>9.68</v>
      </c>
      <c r="C618" s="191">
        <f>C614-C616</f>
        <v>9.68</v>
      </c>
      <c r="D618" s="36"/>
      <c r="E618" s="95"/>
      <c r="F618" s="95"/>
      <c r="G618" s="95"/>
      <c r="H618" s="95"/>
      <c r="I618" s="274"/>
      <c r="K618" s="322" t="s">
        <v>184</v>
      </c>
      <c r="L618" s="73"/>
    </row>
    <row r="619" spans="1:12" s="9" customFormat="1" ht="30" customHeight="1">
      <c r="A619" s="53" t="s">
        <v>18</v>
      </c>
      <c r="B619" s="37">
        <f>C619*1.19</f>
        <v>8.33</v>
      </c>
      <c r="C619" s="36">
        <v>7</v>
      </c>
      <c r="D619" s="36"/>
      <c r="E619" s="95"/>
      <c r="F619" s="44"/>
      <c r="G619" s="44"/>
      <c r="H619" s="294"/>
      <c r="I619" s="274"/>
      <c r="K619" s="322" t="s">
        <v>31</v>
      </c>
      <c r="L619" s="73">
        <f>C718</f>
        <v>15</v>
      </c>
    </row>
    <row r="620" spans="1:12" s="9" customFormat="1" ht="30" customHeight="1">
      <c r="A620" s="53" t="s">
        <v>86</v>
      </c>
      <c r="B620" s="234">
        <v>3.5</v>
      </c>
      <c r="C620" s="234">
        <v>3.5</v>
      </c>
      <c r="D620" s="36"/>
      <c r="E620" s="95"/>
      <c r="F620" s="95"/>
      <c r="G620" s="95"/>
      <c r="H620" s="266"/>
      <c r="I620" s="274"/>
      <c r="K620" s="322" t="s">
        <v>185</v>
      </c>
      <c r="L620" s="2">
        <f>C594</f>
        <v>15</v>
      </c>
    </row>
    <row r="621" spans="1:12" s="9" customFormat="1" ht="30" customHeight="1">
      <c r="A621" s="53" t="s">
        <v>172</v>
      </c>
      <c r="B621" s="234">
        <v>7</v>
      </c>
      <c r="C621" s="234">
        <v>7</v>
      </c>
      <c r="D621" s="36"/>
      <c r="E621" s="95"/>
      <c r="F621" s="95"/>
      <c r="G621" s="95"/>
      <c r="H621" s="266"/>
      <c r="I621" s="274"/>
      <c r="K621" s="322" t="s">
        <v>32</v>
      </c>
      <c r="L621" s="19">
        <f>C673+C703+C634</f>
        <v>15</v>
      </c>
    </row>
    <row r="622" spans="1:12" s="9" customFormat="1" ht="30" customHeight="1">
      <c r="A622" s="51" t="s">
        <v>11</v>
      </c>
      <c r="B622" s="5">
        <v>2</v>
      </c>
      <c r="C622" s="5">
        <v>2</v>
      </c>
      <c r="D622" s="36"/>
      <c r="E622" s="95"/>
      <c r="F622" s="44"/>
      <c r="G622" s="44"/>
      <c r="H622" s="43"/>
      <c r="I622" s="274"/>
      <c r="K622" s="322" t="s">
        <v>33</v>
      </c>
      <c r="L622" s="19">
        <f>C702+C717+C651+C608</f>
        <v>11</v>
      </c>
    </row>
    <row r="623" spans="1:12" s="9" customFormat="1" ht="30" customHeight="1">
      <c r="A623" s="498" t="s">
        <v>359</v>
      </c>
      <c r="B623" s="499"/>
      <c r="C623" s="499"/>
      <c r="D623" s="39">
        <v>200</v>
      </c>
      <c r="E623" s="83">
        <v>3.3</v>
      </c>
      <c r="F623" s="83">
        <v>4</v>
      </c>
      <c r="G623" s="83">
        <v>20.9</v>
      </c>
      <c r="H623" s="43">
        <f>G623*4+F623*9+E623*4</f>
        <v>132.79999999999998</v>
      </c>
      <c r="I623" s="276"/>
      <c r="K623" s="322" t="s">
        <v>186</v>
      </c>
      <c r="L623" s="19">
        <f>C700+C602</f>
        <v>11.5</v>
      </c>
    </row>
    <row r="624" spans="1:12" s="9" customFormat="1" ht="30" customHeight="1">
      <c r="A624" s="494" t="s">
        <v>360</v>
      </c>
      <c r="B624" s="494"/>
      <c r="C624" s="494"/>
      <c r="D624" s="39">
        <v>150</v>
      </c>
      <c r="E624" s="83"/>
      <c r="F624" s="83"/>
      <c r="G624" s="83"/>
      <c r="H624" s="43"/>
      <c r="I624" s="276" t="s">
        <v>245</v>
      </c>
      <c r="K624" s="322" t="s">
        <v>352</v>
      </c>
      <c r="L624" s="61"/>
    </row>
    <row r="625" spans="1:12" s="9" customFormat="1" ht="30" customHeight="1">
      <c r="A625" s="53" t="s">
        <v>12</v>
      </c>
      <c r="B625" s="37">
        <f>C625*1.33</f>
        <v>170.24</v>
      </c>
      <c r="C625" s="37">
        <v>128</v>
      </c>
      <c r="D625" s="36"/>
      <c r="E625" s="95"/>
      <c r="F625" s="95"/>
      <c r="G625" s="95"/>
      <c r="H625" s="236"/>
      <c r="I625" s="275"/>
      <c r="K625" s="322" t="s">
        <v>188</v>
      </c>
      <c r="L625" s="15">
        <v>1.5</v>
      </c>
    </row>
    <row r="626" spans="1:12" s="9" customFormat="1" ht="30" customHeight="1">
      <c r="A626" s="53" t="s">
        <v>13</v>
      </c>
      <c r="B626" s="37">
        <f>C626*1.43</f>
        <v>183.04</v>
      </c>
      <c r="C626" s="37">
        <v>128</v>
      </c>
      <c r="D626" s="36"/>
      <c r="E626" s="95"/>
      <c r="F626" s="95"/>
      <c r="G626" s="95"/>
      <c r="H626" s="296"/>
      <c r="I626" s="274"/>
      <c r="K626" s="322" t="s">
        <v>187</v>
      </c>
      <c r="L626" s="15">
        <v>1</v>
      </c>
    </row>
    <row r="627" spans="1:9" s="9" customFormat="1" ht="30" customHeight="1">
      <c r="A627" s="53" t="s">
        <v>14</v>
      </c>
      <c r="B627" s="37">
        <f>C627*1.54</f>
        <v>197.12</v>
      </c>
      <c r="C627" s="37">
        <v>128</v>
      </c>
      <c r="D627" s="36"/>
      <c r="E627" s="95"/>
      <c r="F627" s="44"/>
      <c r="G627" s="44"/>
      <c r="H627" s="294"/>
      <c r="I627" s="274"/>
    </row>
    <row r="628" spans="1:13" s="114" customFormat="1" ht="30" customHeight="1">
      <c r="A628" s="53" t="s">
        <v>15</v>
      </c>
      <c r="B628" s="37">
        <f>C628*1.67</f>
        <v>213.76</v>
      </c>
      <c r="C628" s="37">
        <v>128</v>
      </c>
      <c r="D628" s="36"/>
      <c r="E628" s="95"/>
      <c r="F628" s="44"/>
      <c r="G628" s="44"/>
      <c r="H628" s="294"/>
      <c r="I628" s="274"/>
      <c r="M628" s="9"/>
    </row>
    <row r="629" spans="1:13" s="114" customFormat="1" ht="30" customHeight="1">
      <c r="A629" s="53" t="s">
        <v>52</v>
      </c>
      <c r="B629" s="36">
        <v>23</v>
      </c>
      <c r="C629" s="36">
        <v>23</v>
      </c>
      <c r="D629" s="36"/>
      <c r="E629" s="41"/>
      <c r="F629" s="41"/>
      <c r="G629" s="41"/>
      <c r="H629" s="36"/>
      <c r="I629" s="360"/>
      <c r="M629" s="2"/>
    </row>
    <row r="630" spans="1:13" s="114" customFormat="1" ht="30" customHeight="1">
      <c r="A630" s="58" t="s">
        <v>38</v>
      </c>
      <c r="B630" s="89">
        <f>B629*460/1000</f>
        <v>10.58</v>
      </c>
      <c r="C630" s="89">
        <f>C629*460/1000</f>
        <v>10.58</v>
      </c>
      <c r="D630" s="36"/>
      <c r="E630" s="95"/>
      <c r="F630" s="95"/>
      <c r="G630" s="95"/>
      <c r="H630" s="296"/>
      <c r="I630" s="274"/>
      <c r="M630" s="1"/>
    </row>
    <row r="631" spans="1:9" s="9" customFormat="1" ht="30" customHeight="1">
      <c r="A631" s="58" t="s">
        <v>39</v>
      </c>
      <c r="B631" s="89">
        <f>B629*120/1000</f>
        <v>2.76</v>
      </c>
      <c r="C631" s="89">
        <f>C629*120/1000</f>
        <v>2.76</v>
      </c>
      <c r="D631" s="36"/>
      <c r="E631" s="95"/>
      <c r="F631" s="95"/>
      <c r="G631" s="95"/>
      <c r="H631" s="296"/>
      <c r="I631" s="274"/>
    </row>
    <row r="632" spans="1:13" s="9" customFormat="1" ht="30" customHeight="1">
      <c r="A632" s="190" t="s">
        <v>155</v>
      </c>
      <c r="B632" s="191">
        <f>B629-B630</f>
        <v>12.42</v>
      </c>
      <c r="C632" s="191">
        <f>C629-C630</f>
        <v>12.42</v>
      </c>
      <c r="D632" s="36"/>
      <c r="E632" s="95"/>
      <c r="F632" s="95"/>
      <c r="G632" s="95"/>
      <c r="H632" s="296"/>
      <c r="I632" s="274"/>
      <c r="M632" s="1"/>
    </row>
    <row r="633" spans="1:13" s="9" customFormat="1" ht="30" customHeight="1">
      <c r="A633" s="190" t="s">
        <v>156</v>
      </c>
      <c r="B633" s="191">
        <f>B629-B631</f>
        <v>20.240000000000002</v>
      </c>
      <c r="C633" s="191">
        <f>C629-C631</f>
        <v>20.240000000000002</v>
      </c>
      <c r="D633" s="36"/>
      <c r="E633" s="95"/>
      <c r="F633" s="95"/>
      <c r="G633" s="95"/>
      <c r="H633" s="296"/>
      <c r="I633" s="275"/>
      <c r="J633" s="61"/>
      <c r="M633" s="61"/>
    </row>
    <row r="634" spans="1:9" s="9" customFormat="1" ht="30" customHeight="1">
      <c r="A634" s="51" t="s">
        <v>19</v>
      </c>
      <c r="B634" s="35">
        <v>5</v>
      </c>
      <c r="C634" s="35">
        <v>5</v>
      </c>
      <c r="D634" s="36"/>
      <c r="E634" s="95"/>
      <c r="F634" s="95"/>
      <c r="G634" s="95"/>
      <c r="H634" s="296"/>
      <c r="I634" s="275"/>
    </row>
    <row r="635" spans="1:10" s="9" customFormat="1" ht="30" customHeight="1">
      <c r="A635" s="498" t="s">
        <v>303</v>
      </c>
      <c r="B635" s="498"/>
      <c r="C635" s="498"/>
      <c r="D635" s="59">
        <v>50</v>
      </c>
      <c r="E635" s="83"/>
      <c r="F635" s="83"/>
      <c r="G635" s="83"/>
      <c r="H635" s="256"/>
      <c r="I635" s="276" t="s">
        <v>304</v>
      </c>
      <c r="J635" s="61"/>
    </row>
    <row r="636" spans="1:9" s="9" customFormat="1" ht="30" customHeight="1">
      <c r="A636" s="56" t="s">
        <v>100</v>
      </c>
      <c r="B636" s="243">
        <f>C636*1.02</f>
        <v>25.5</v>
      </c>
      <c r="C636" s="60">
        <v>25</v>
      </c>
      <c r="D636" s="59"/>
      <c r="E636" s="83"/>
      <c r="F636" s="83"/>
      <c r="G636" s="83"/>
      <c r="H636" s="257"/>
      <c r="I636" s="274"/>
    </row>
    <row r="637" spans="1:9" s="9" customFormat="1" ht="30" customHeight="1">
      <c r="A637" s="56" t="s">
        <v>101</v>
      </c>
      <c r="B637" s="243">
        <f>C637*1.18</f>
        <v>29.5</v>
      </c>
      <c r="C637" s="60">
        <v>25</v>
      </c>
      <c r="D637" s="59"/>
      <c r="E637" s="83"/>
      <c r="F637" s="83"/>
      <c r="G637" s="83"/>
      <c r="H637" s="257"/>
      <c r="I637" s="274"/>
    </row>
    <row r="638" spans="1:9" s="9" customFormat="1" ht="30" customHeight="1">
      <c r="A638" s="56" t="s">
        <v>173</v>
      </c>
      <c r="B638" s="243">
        <f>C638*1.05</f>
        <v>26.25</v>
      </c>
      <c r="C638" s="60">
        <v>25</v>
      </c>
      <c r="D638" s="59"/>
      <c r="E638" s="366"/>
      <c r="F638" s="366"/>
      <c r="G638" s="366"/>
      <c r="H638" s="367"/>
      <c r="I638" s="275"/>
    </row>
    <row r="639" spans="1:13" s="9" customFormat="1" ht="30" customHeight="1">
      <c r="A639" s="56" t="s">
        <v>116</v>
      </c>
      <c r="B639" s="243">
        <f>C639*1.02</f>
        <v>25.5</v>
      </c>
      <c r="C639" s="60">
        <v>25</v>
      </c>
      <c r="D639" s="59"/>
      <c r="E639" s="366"/>
      <c r="F639" s="366"/>
      <c r="G639" s="366"/>
      <c r="H639" s="367"/>
      <c r="I639" s="275"/>
      <c r="M639" s="1"/>
    </row>
    <row r="640" spans="1:9" s="9" customFormat="1" ht="30" customHeight="1">
      <c r="A640" s="484" t="s">
        <v>250</v>
      </c>
      <c r="B640" s="484"/>
      <c r="C640" s="484"/>
      <c r="D640" s="21" t="s">
        <v>142</v>
      </c>
      <c r="E640" s="44">
        <v>0.3</v>
      </c>
      <c r="F640" s="44">
        <v>0</v>
      </c>
      <c r="G640" s="44">
        <v>15.2</v>
      </c>
      <c r="H640" s="43">
        <f>G640*4+F640*9+E640*4</f>
        <v>62</v>
      </c>
      <c r="I640" s="261" t="s">
        <v>251</v>
      </c>
    </row>
    <row r="641" spans="1:12" s="9" customFormat="1" ht="30" customHeight="1">
      <c r="A641" s="51" t="s">
        <v>114</v>
      </c>
      <c r="B641" s="5">
        <v>1</v>
      </c>
      <c r="C641" s="5">
        <v>1</v>
      </c>
      <c r="D641" s="150"/>
      <c r="E641" s="106"/>
      <c r="F641" s="106"/>
      <c r="G641" s="106"/>
      <c r="H641" s="84"/>
      <c r="I641" s="274"/>
      <c r="J641" s="175"/>
      <c r="K641" s="346"/>
      <c r="L641" s="61"/>
    </row>
    <row r="642" spans="1:9" ht="30" customHeight="1">
      <c r="A642" s="53" t="s">
        <v>4</v>
      </c>
      <c r="B642" s="29">
        <v>15</v>
      </c>
      <c r="C642" s="29">
        <v>15</v>
      </c>
      <c r="D642" s="30"/>
      <c r="E642" s="106"/>
      <c r="F642" s="106"/>
      <c r="G642" s="106"/>
      <c r="H642" s="106"/>
      <c r="I642" s="274"/>
    </row>
    <row r="643" spans="1:9" ht="30" customHeight="1">
      <c r="A643" s="53" t="s">
        <v>141</v>
      </c>
      <c r="B643" s="29">
        <v>8</v>
      </c>
      <c r="C643" s="29">
        <v>7</v>
      </c>
      <c r="D643" s="30"/>
      <c r="E643" s="106"/>
      <c r="F643" s="106"/>
      <c r="G643" s="106"/>
      <c r="H643" s="106"/>
      <c r="I643" s="274"/>
    </row>
    <row r="644" spans="1:13" s="9" customFormat="1" ht="30" customHeight="1">
      <c r="A644" s="212" t="s">
        <v>26</v>
      </c>
      <c r="B644" s="36">
        <v>20</v>
      </c>
      <c r="C644" s="36">
        <v>20</v>
      </c>
      <c r="D644" s="23">
        <v>20</v>
      </c>
      <c r="E644" s="110">
        <v>0.7</v>
      </c>
      <c r="F644" s="110">
        <v>0.2</v>
      </c>
      <c r="G644" s="110">
        <v>9.4</v>
      </c>
      <c r="H644" s="256">
        <v>41.3</v>
      </c>
      <c r="I644" s="275"/>
      <c r="K644" s="335"/>
      <c r="M644" s="61"/>
    </row>
    <row r="645" spans="1:13" s="9" customFormat="1" ht="30" customHeight="1">
      <c r="A645" s="482" t="s">
        <v>96</v>
      </c>
      <c r="B645" s="478"/>
      <c r="C645" s="478"/>
      <c r="D645" s="26">
        <v>150</v>
      </c>
      <c r="E645" s="45">
        <v>0.2</v>
      </c>
      <c r="F645" s="45">
        <v>0</v>
      </c>
      <c r="G645" s="45">
        <v>8.6</v>
      </c>
      <c r="H645" s="43">
        <f>E645*4+F645*9+G645*4</f>
        <v>35.199999999999996</v>
      </c>
      <c r="I645" s="276" t="s">
        <v>215</v>
      </c>
      <c r="J645" s="61"/>
      <c r="K645" s="334"/>
      <c r="M645" s="61"/>
    </row>
    <row r="646" spans="1:12" s="9" customFormat="1" ht="30" customHeight="1">
      <c r="A646" s="479" t="s">
        <v>58</v>
      </c>
      <c r="B646" s="479"/>
      <c r="C646" s="479"/>
      <c r="D646" s="263">
        <f>D647+260+95+D704+D720</f>
        <v>765</v>
      </c>
      <c r="E646" s="99">
        <f>E647+E652+E690+E704+E720+E725+E727</f>
        <v>27.5</v>
      </c>
      <c r="F646" s="99">
        <f>F647+F652+F690+F704+F720+F725+F727</f>
        <v>28</v>
      </c>
      <c r="G646" s="99">
        <f>G647+G652+G690+G704+G720+G725+G727</f>
        <v>110.89999999999999</v>
      </c>
      <c r="H646" s="96">
        <f>H647+H652+H690+H704+H720+H725+H727</f>
        <v>804.8</v>
      </c>
      <c r="I646" s="274"/>
      <c r="J646" s="61"/>
      <c r="K646" s="334"/>
      <c r="L646" s="61"/>
    </row>
    <row r="647" spans="1:11" s="9" customFormat="1" ht="30" customHeight="1">
      <c r="A647" s="482" t="s">
        <v>292</v>
      </c>
      <c r="B647" s="482"/>
      <c r="C647" s="482"/>
      <c r="D647" s="23">
        <v>60</v>
      </c>
      <c r="E647" s="110">
        <v>0.6</v>
      </c>
      <c r="F647" s="110">
        <v>3.1</v>
      </c>
      <c r="G647" s="110">
        <v>3.5</v>
      </c>
      <c r="H647" s="256">
        <f>E647*4+F647*9+G647*4</f>
        <v>44.3</v>
      </c>
      <c r="I647" s="290" t="s">
        <v>293</v>
      </c>
      <c r="K647" s="335"/>
    </row>
    <row r="648" spans="1:9" ht="30" customHeight="1">
      <c r="A648" s="51" t="s">
        <v>17</v>
      </c>
      <c r="B648" s="35">
        <f>C648*1.25</f>
        <v>60</v>
      </c>
      <c r="C648" s="60">
        <v>48</v>
      </c>
      <c r="D648" s="233"/>
      <c r="E648" s="44"/>
      <c r="F648" s="44"/>
      <c r="G648" s="44"/>
      <c r="H648" s="294"/>
      <c r="I648" s="274"/>
    </row>
    <row r="649" spans="1:12" s="9" customFormat="1" ht="30" customHeight="1">
      <c r="A649" s="51" t="s">
        <v>16</v>
      </c>
      <c r="B649" s="35">
        <f>C649*1.33</f>
        <v>63.84</v>
      </c>
      <c r="C649" s="60">
        <v>48</v>
      </c>
      <c r="D649" s="233"/>
      <c r="E649" s="44"/>
      <c r="F649" s="44"/>
      <c r="G649" s="44"/>
      <c r="H649" s="44"/>
      <c r="I649" s="274"/>
      <c r="K649" s="335"/>
      <c r="L649" s="61"/>
    </row>
    <row r="650" spans="1:12" s="9" customFormat="1" ht="30" customHeight="1">
      <c r="A650" s="51" t="s">
        <v>112</v>
      </c>
      <c r="B650" s="90">
        <f>C650*1.82</f>
        <v>21.84</v>
      </c>
      <c r="C650" s="60">
        <v>12</v>
      </c>
      <c r="D650" s="233"/>
      <c r="E650" s="44"/>
      <c r="F650" s="44"/>
      <c r="G650" s="44"/>
      <c r="H650" s="44"/>
      <c r="I650" s="274"/>
      <c r="K650" s="335"/>
      <c r="L650" s="61"/>
    </row>
    <row r="651" spans="1:9" ht="30" customHeight="1">
      <c r="A651" s="56" t="s">
        <v>11</v>
      </c>
      <c r="B651" s="90">
        <v>3</v>
      </c>
      <c r="C651" s="60">
        <v>3</v>
      </c>
      <c r="D651" s="233"/>
      <c r="E651" s="44"/>
      <c r="F651" s="44"/>
      <c r="G651" s="44"/>
      <c r="H651" s="44"/>
      <c r="I651" s="274"/>
    </row>
    <row r="652" spans="1:13" s="9" customFormat="1" ht="30" customHeight="1">
      <c r="A652" s="497" t="s">
        <v>320</v>
      </c>
      <c r="B652" s="497"/>
      <c r="C652" s="497"/>
      <c r="D652" s="34" t="s">
        <v>65</v>
      </c>
      <c r="E652" s="44">
        <v>7.1</v>
      </c>
      <c r="F652" s="44">
        <v>8.1</v>
      </c>
      <c r="G652" s="44">
        <v>13.5</v>
      </c>
      <c r="H652" s="43">
        <f>E652*4+F652*9+G652*4</f>
        <v>155.29999999999998</v>
      </c>
      <c r="I652" s="276" t="s">
        <v>294</v>
      </c>
      <c r="K652" s="335"/>
      <c r="L652" s="61"/>
      <c r="M652" s="61"/>
    </row>
    <row r="653" spans="1:13" s="9" customFormat="1" ht="30" customHeight="1">
      <c r="A653" s="55" t="s">
        <v>113</v>
      </c>
      <c r="B653" s="27">
        <v>29</v>
      </c>
      <c r="C653" s="35">
        <v>26</v>
      </c>
      <c r="D653" s="5"/>
      <c r="E653" s="95"/>
      <c r="F653" s="95"/>
      <c r="G653" s="95"/>
      <c r="H653" s="296"/>
      <c r="I653" s="274"/>
      <c r="K653" s="335"/>
      <c r="M653" s="61"/>
    </row>
    <row r="654" spans="1:13" s="9" customFormat="1" ht="30" customHeight="1">
      <c r="A654" s="115" t="s">
        <v>128</v>
      </c>
      <c r="B654" s="48">
        <f>C654*1.04</f>
        <v>18.72</v>
      </c>
      <c r="C654" s="35">
        <v>18</v>
      </c>
      <c r="D654" s="228"/>
      <c r="E654" s="95"/>
      <c r="F654" s="95"/>
      <c r="G654" s="95"/>
      <c r="H654" s="95"/>
      <c r="I654" s="274"/>
      <c r="K654" s="335"/>
      <c r="M654" s="61"/>
    </row>
    <row r="655" spans="1:11" s="9" customFormat="1" ht="30" customHeight="1">
      <c r="A655" s="115" t="s">
        <v>130</v>
      </c>
      <c r="B655" s="48">
        <f>C655*1.048</f>
        <v>14.672</v>
      </c>
      <c r="C655" s="146">
        <v>14</v>
      </c>
      <c r="D655" s="228"/>
      <c r="E655" s="95"/>
      <c r="F655" s="95"/>
      <c r="G655" s="95"/>
      <c r="H655" s="87"/>
      <c r="I655" s="274"/>
      <c r="K655" s="335"/>
    </row>
    <row r="656" spans="1:11" s="9" customFormat="1" ht="30" customHeight="1">
      <c r="A656" s="497" t="s">
        <v>295</v>
      </c>
      <c r="B656" s="497"/>
      <c r="C656" s="497"/>
      <c r="D656" s="23" t="s">
        <v>135</v>
      </c>
      <c r="E656" s="23">
        <v>6.4</v>
      </c>
      <c r="F656" s="23">
        <v>7.3</v>
      </c>
      <c r="G656" s="23">
        <v>13.5</v>
      </c>
      <c r="H656" s="43">
        <f>G656*4+F656*9+E656*4</f>
        <v>145.3</v>
      </c>
      <c r="I656" s="276" t="s">
        <v>294</v>
      </c>
      <c r="K656" s="335"/>
    </row>
    <row r="657" spans="1:11" s="9" customFormat="1" ht="30" customHeight="1">
      <c r="A657" s="188" t="s">
        <v>231</v>
      </c>
      <c r="B657" s="160"/>
      <c r="C657" s="187">
        <v>15</v>
      </c>
      <c r="D657" s="187"/>
      <c r="E657" s="44"/>
      <c r="F657" s="294"/>
      <c r="G657" s="44"/>
      <c r="H657" s="43"/>
      <c r="I657" s="276" t="s">
        <v>232</v>
      </c>
      <c r="K657" s="335"/>
    </row>
    <row r="658" spans="1:12" s="9" customFormat="1" ht="30" customHeight="1">
      <c r="A658" s="86" t="s">
        <v>88</v>
      </c>
      <c r="B658" s="48">
        <f>C658*1.36</f>
        <v>23.12</v>
      </c>
      <c r="C658" s="35">
        <v>17</v>
      </c>
      <c r="D658" s="5"/>
      <c r="E658" s="95"/>
      <c r="F658" s="95"/>
      <c r="G658" s="95"/>
      <c r="H658" s="296"/>
      <c r="I658" s="274"/>
      <c r="K658" s="335"/>
      <c r="L658" s="175"/>
    </row>
    <row r="659" spans="1:12" s="9" customFormat="1" ht="30" customHeight="1">
      <c r="A659" s="86" t="s">
        <v>89</v>
      </c>
      <c r="B659" s="48">
        <f>C659*1.18</f>
        <v>20.06</v>
      </c>
      <c r="C659" s="35">
        <v>17</v>
      </c>
      <c r="D659" s="31"/>
      <c r="E659" s="85"/>
      <c r="F659" s="85"/>
      <c r="G659" s="85"/>
      <c r="H659" s="258"/>
      <c r="I659" s="274"/>
      <c r="K659" s="335"/>
      <c r="L659" s="61"/>
    </row>
    <row r="660" spans="1:12" s="9" customFormat="1" ht="30" customHeight="1">
      <c r="A660" s="51" t="s">
        <v>18</v>
      </c>
      <c r="B660" s="87">
        <f>C660*1.19</f>
        <v>1.785</v>
      </c>
      <c r="C660" s="95">
        <v>1.5</v>
      </c>
      <c r="D660" s="152"/>
      <c r="E660" s="85"/>
      <c r="F660" s="85"/>
      <c r="G660" s="85"/>
      <c r="H660" s="258"/>
      <c r="I660" s="274"/>
      <c r="K660" s="335"/>
      <c r="L660" s="61"/>
    </row>
    <row r="661" spans="1:11" s="9" customFormat="1" ht="30" customHeight="1">
      <c r="A661" s="51" t="s">
        <v>63</v>
      </c>
      <c r="B661" s="95">
        <v>1.5</v>
      </c>
      <c r="C661" s="95">
        <v>1.5</v>
      </c>
      <c r="D661" s="152"/>
      <c r="E661" s="85"/>
      <c r="F661" s="85"/>
      <c r="G661" s="85"/>
      <c r="H661" s="258"/>
      <c r="I661" s="275"/>
      <c r="K661" s="335"/>
    </row>
    <row r="662" spans="1:12" s="9" customFormat="1" ht="30" customHeight="1">
      <c r="A662" s="51" t="s">
        <v>86</v>
      </c>
      <c r="B662" s="95">
        <v>1.2</v>
      </c>
      <c r="C662" s="95">
        <v>1.2</v>
      </c>
      <c r="D662" s="152"/>
      <c r="E662" s="85"/>
      <c r="F662" s="85"/>
      <c r="G662" s="85"/>
      <c r="H662" s="258"/>
      <c r="I662" s="274"/>
      <c r="K662" s="335"/>
      <c r="L662" s="61"/>
    </row>
    <row r="663" spans="1:13" s="9" customFormat="1" ht="30" customHeight="1">
      <c r="A663" s="231" t="s">
        <v>296</v>
      </c>
      <c r="B663" s="35"/>
      <c r="C663" s="20">
        <v>20</v>
      </c>
      <c r="D663" s="74"/>
      <c r="E663" s="107"/>
      <c r="F663" s="94"/>
      <c r="G663" s="94"/>
      <c r="H663" s="247"/>
      <c r="I663" s="276" t="s">
        <v>297</v>
      </c>
      <c r="K663" s="335"/>
      <c r="L663" s="61"/>
      <c r="M663" s="61"/>
    </row>
    <row r="664" spans="1:11" s="9" customFormat="1" ht="30" customHeight="1">
      <c r="A664" s="51" t="s">
        <v>21</v>
      </c>
      <c r="B664" s="35">
        <v>18</v>
      </c>
      <c r="C664" s="29">
        <v>18</v>
      </c>
      <c r="D664" s="74"/>
      <c r="E664" s="107"/>
      <c r="F664" s="94"/>
      <c r="G664" s="94"/>
      <c r="H664" s="247"/>
      <c r="I664" s="274"/>
      <c r="K664" s="335"/>
    </row>
    <row r="665" spans="1:12" s="9" customFormat="1" ht="30" customHeight="1">
      <c r="A665" s="51" t="s">
        <v>143</v>
      </c>
      <c r="B665" s="40">
        <v>1.2</v>
      </c>
      <c r="C665" s="95">
        <v>1.2</v>
      </c>
      <c r="D665" s="74"/>
      <c r="E665" s="107"/>
      <c r="F665" s="94"/>
      <c r="G665" s="94"/>
      <c r="H665" s="247"/>
      <c r="I665" s="274"/>
      <c r="K665" s="335"/>
      <c r="L665" s="61"/>
    </row>
    <row r="666" spans="1:12" s="9" customFormat="1" ht="30" customHeight="1">
      <c r="A666" s="53" t="s">
        <v>86</v>
      </c>
      <c r="B666" s="35">
        <v>5</v>
      </c>
      <c r="C666" s="29">
        <v>5</v>
      </c>
      <c r="D666" s="74"/>
      <c r="E666" s="107"/>
      <c r="F666" s="94"/>
      <c r="G666" s="94"/>
      <c r="H666" s="247"/>
      <c r="I666" s="275"/>
      <c r="K666" s="335"/>
      <c r="L666" s="61"/>
    </row>
    <row r="667" spans="1:12" s="9" customFormat="1" ht="30" customHeight="1">
      <c r="A667" s="53" t="s">
        <v>63</v>
      </c>
      <c r="B667" s="40">
        <v>3.5</v>
      </c>
      <c r="C667" s="29">
        <v>3.5</v>
      </c>
      <c r="D667" s="74"/>
      <c r="E667" s="107"/>
      <c r="F667" s="94"/>
      <c r="G667" s="94"/>
      <c r="H667" s="247"/>
      <c r="I667" s="274"/>
      <c r="K667" s="335"/>
      <c r="L667" s="61"/>
    </row>
    <row r="668" spans="1:11" s="9" customFormat="1" ht="30" customHeight="1">
      <c r="A668" s="53" t="s">
        <v>53</v>
      </c>
      <c r="B668" s="40">
        <v>0.5</v>
      </c>
      <c r="C668" s="29">
        <v>0.5</v>
      </c>
      <c r="D668" s="122"/>
      <c r="E668" s="107"/>
      <c r="F668" s="94"/>
      <c r="G668" s="94"/>
      <c r="H668" s="247"/>
      <c r="I668" s="274"/>
      <c r="K668" s="335"/>
    </row>
    <row r="669" spans="1:13" s="114" customFormat="1" ht="30" customHeight="1">
      <c r="A669" s="57" t="s">
        <v>97</v>
      </c>
      <c r="B669" s="35">
        <v>20</v>
      </c>
      <c r="C669" s="29">
        <v>20</v>
      </c>
      <c r="D669" s="74"/>
      <c r="E669" s="107"/>
      <c r="F669" s="94"/>
      <c r="G669" s="94"/>
      <c r="H669" s="247"/>
      <c r="I669" s="274"/>
      <c r="J669" s="9"/>
      <c r="K669" s="335"/>
      <c r="L669" s="61"/>
      <c r="M669" s="9"/>
    </row>
    <row r="670" spans="1:13" s="114" customFormat="1" ht="30" customHeight="1">
      <c r="A670" s="51" t="s">
        <v>61</v>
      </c>
      <c r="B670" s="40">
        <f>C670*1.25</f>
        <v>12.5</v>
      </c>
      <c r="C670" s="5">
        <f>+C672</f>
        <v>10</v>
      </c>
      <c r="D670" s="74"/>
      <c r="E670" s="95"/>
      <c r="F670" s="95"/>
      <c r="G670" s="94"/>
      <c r="H670" s="247"/>
      <c r="I670" s="274"/>
      <c r="J670" s="9"/>
      <c r="K670" s="335"/>
      <c r="L670" s="9"/>
      <c r="M670" s="61"/>
    </row>
    <row r="671" spans="1:13" s="114" customFormat="1" ht="30" customHeight="1">
      <c r="A671" s="51" t="s">
        <v>16</v>
      </c>
      <c r="B671" s="40">
        <f>C671*1.33</f>
        <v>13.3</v>
      </c>
      <c r="C671" s="5">
        <v>10</v>
      </c>
      <c r="D671" s="74"/>
      <c r="E671" s="95"/>
      <c r="F671" s="95"/>
      <c r="G671" s="94"/>
      <c r="H671" s="247"/>
      <c r="I671" s="274"/>
      <c r="J671" s="9"/>
      <c r="K671" s="335"/>
      <c r="L671" s="61"/>
      <c r="M671" s="9"/>
    </row>
    <row r="672" spans="1:12" s="9" customFormat="1" ht="30" customHeight="1">
      <c r="A672" s="51" t="s">
        <v>18</v>
      </c>
      <c r="B672" s="37">
        <f>C672*1.19</f>
        <v>11.899999999999999</v>
      </c>
      <c r="C672" s="5">
        <v>10</v>
      </c>
      <c r="D672" s="74"/>
      <c r="E672" s="95"/>
      <c r="F672" s="95"/>
      <c r="G672" s="94"/>
      <c r="H672" s="247"/>
      <c r="I672" s="274"/>
      <c r="K672" s="335"/>
      <c r="L672" s="61"/>
    </row>
    <row r="673" spans="1:12" s="9" customFormat="1" ht="30" customHeight="1">
      <c r="A673" s="51" t="s">
        <v>19</v>
      </c>
      <c r="B673" s="36">
        <v>5</v>
      </c>
      <c r="C673" s="36">
        <v>5</v>
      </c>
      <c r="D673" s="5"/>
      <c r="E673" s="95"/>
      <c r="F673" s="95"/>
      <c r="G673" s="94"/>
      <c r="H673" s="247"/>
      <c r="I673" s="275"/>
      <c r="K673" s="335"/>
      <c r="L673" s="61"/>
    </row>
    <row r="674" spans="1:12" s="9" customFormat="1" ht="30" customHeight="1">
      <c r="A674" s="53" t="s">
        <v>73</v>
      </c>
      <c r="B674" s="40">
        <v>0.2</v>
      </c>
      <c r="C674" s="40">
        <v>0.2</v>
      </c>
      <c r="D674" s="31"/>
      <c r="E674" s="85"/>
      <c r="F674" s="85"/>
      <c r="G674" s="85"/>
      <c r="H674" s="258"/>
      <c r="I674" s="275"/>
      <c r="K674" s="335"/>
      <c r="L674" s="61"/>
    </row>
    <row r="675" spans="1:12" s="9" customFormat="1" ht="30" customHeight="1">
      <c r="A675" s="482" t="s">
        <v>428</v>
      </c>
      <c r="B675" s="482"/>
      <c r="C675" s="482"/>
      <c r="D675" s="23" t="s">
        <v>240</v>
      </c>
      <c r="E675" s="110">
        <v>15.428571428571429</v>
      </c>
      <c r="F675" s="110">
        <v>8.742857142857142</v>
      </c>
      <c r="G675" s="110">
        <v>10.414285714285715</v>
      </c>
      <c r="H675" s="256">
        <f>G675*4+F675*9+E675*4</f>
        <v>182.05714285714285</v>
      </c>
      <c r="I675" s="439" t="s">
        <v>427</v>
      </c>
      <c r="K675" s="335"/>
      <c r="L675" s="61"/>
    </row>
    <row r="676" spans="1:12" s="9" customFormat="1" ht="30" customHeight="1">
      <c r="A676" s="55" t="s">
        <v>113</v>
      </c>
      <c r="B676" s="48">
        <f>C676*2.32</f>
        <v>167.04</v>
      </c>
      <c r="C676" s="440">
        <v>72</v>
      </c>
      <c r="D676" s="296"/>
      <c r="E676" s="95"/>
      <c r="F676" s="95"/>
      <c r="G676" s="95"/>
      <c r="H676" s="95"/>
      <c r="I676" s="441"/>
      <c r="K676" s="335"/>
      <c r="L676" s="61"/>
    </row>
    <row r="677" spans="1:12" s="9" customFormat="1" ht="30" customHeight="1">
      <c r="A677" s="115" t="s">
        <v>157</v>
      </c>
      <c r="B677" s="48">
        <f>C677*1.34</f>
        <v>96.48</v>
      </c>
      <c r="C677" s="440">
        <v>72</v>
      </c>
      <c r="D677" s="296"/>
      <c r="E677" s="95"/>
      <c r="F677" s="95"/>
      <c r="G677" s="95"/>
      <c r="H677" s="87"/>
      <c r="I677" s="442"/>
      <c r="K677" s="335"/>
      <c r="L677" s="114"/>
    </row>
    <row r="678" spans="1:12" s="9" customFormat="1" ht="30" customHeight="1">
      <c r="A678" s="115" t="s">
        <v>130</v>
      </c>
      <c r="B678" s="48">
        <f>C678*1.054</f>
        <v>75.888</v>
      </c>
      <c r="C678" s="440">
        <v>72</v>
      </c>
      <c r="D678" s="296"/>
      <c r="E678" s="95"/>
      <c r="F678" s="95"/>
      <c r="G678" s="95"/>
      <c r="H678" s="87"/>
      <c r="I678" s="442"/>
      <c r="K678" s="335"/>
      <c r="L678" s="114"/>
    </row>
    <row r="679" spans="1:12" s="9" customFormat="1" ht="30" customHeight="1">
      <c r="A679" s="56" t="s">
        <v>10</v>
      </c>
      <c r="B679" s="90">
        <v>15</v>
      </c>
      <c r="C679" s="60">
        <v>15</v>
      </c>
      <c r="D679" s="296"/>
      <c r="E679" s="38"/>
      <c r="F679" s="41"/>
      <c r="G679" s="41"/>
      <c r="H679" s="37"/>
      <c r="I679" s="416"/>
      <c r="K679" s="335"/>
      <c r="L679" s="114"/>
    </row>
    <row r="680" spans="1:12" s="9" customFormat="1" ht="30" customHeight="1">
      <c r="A680" s="56" t="s">
        <v>52</v>
      </c>
      <c r="B680" s="90">
        <v>13</v>
      </c>
      <c r="C680" s="60">
        <v>13</v>
      </c>
      <c r="D680" s="36"/>
      <c r="E680" s="38"/>
      <c r="F680" s="41"/>
      <c r="G680" s="41"/>
      <c r="H680" s="37"/>
      <c r="I680" s="416"/>
      <c r="K680" s="335"/>
      <c r="L680" s="61"/>
    </row>
    <row r="681" spans="1:13" s="166" customFormat="1" ht="30" customHeight="1">
      <c r="A681" s="388" t="s">
        <v>38</v>
      </c>
      <c r="B681" s="389">
        <f>B680*460/1000</f>
        <v>5.98</v>
      </c>
      <c r="C681" s="389">
        <f>C680*460/1000</f>
        <v>5.98</v>
      </c>
      <c r="D681" s="38"/>
      <c r="E681" s="41"/>
      <c r="F681" s="41"/>
      <c r="G681" s="41"/>
      <c r="H681" s="36"/>
      <c r="I681" s="275"/>
      <c r="J681" s="9"/>
      <c r="K681" s="335"/>
      <c r="L681" s="9"/>
      <c r="M681" s="9"/>
    </row>
    <row r="682" spans="1:11" s="9" customFormat="1" ht="30" customHeight="1">
      <c r="A682" s="388" t="s">
        <v>39</v>
      </c>
      <c r="B682" s="389">
        <f>B680*120/1000</f>
        <v>1.56</v>
      </c>
      <c r="C682" s="389">
        <f>C680*120/1000</f>
        <v>1.56</v>
      </c>
      <c r="D682" s="38"/>
      <c r="E682" s="41"/>
      <c r="F682" s="41"/>
      <c r="G682" s="41"/>
      <c r="H682" s="36"/>
      <c r="I682" s="275"/>
      <c r="K682" s="335"/>
    </row>
    <row r="683" spans="1:11" s="9" customFormat="1" ht="30" customHeight="1">
      <c r="A683" s="355" t="s">
        <v>78</v>
      </c>
      <c r="B683" s="390">
        <f>B680-B681</f>
        <v>7.02</v>
      </c>
      <c r="C683" s="390">
        <f>C680-C681</f>
        <v>7.02</v>
      </c>
      <c r="D683" s="38"/>
      <c r="E683" s="396"/>
      <c r="F683" s="396"/>
      <c r="G683" s="396"/>
      <c r="H683" s="397"/>
      <c r="I683" s="275"/>
      <c r="K683" s="335"/>
    </row>
    <row r="684" spans="1:13" s="9" customFormat="1" ht="30" customHeight="1">
      <c r="A684" s="355" t="s">
        <v>79</v>
      </c>
      <c r="B684" s="390">
        <f>B680-B682</f>
        <v>11.44</v>
      </c>
      <c r="C684" s="390">
        <f>C680-C682</f>
        <v>11.44</v>
      </c>
      <c r="D684" s="38"/>
      <c r="E684" s="396"/>
      <c r="F684" s="396"/>
      <c r="G684" s="396"/>
      <c r="H684" s="397"/>
      <c r="I684" s="275"/>
      <c r="J684" s="61"/>
      <c r="K684" s="334"/>
      <c r="L684" s="61"/>
      <c r="M684" s="61"/>
    </row>
    <row r="685" spans="1:9" ht="30" customHeight="1">
      <c r="A685" s="56" t="s">
        <v>86</v>
      </c>
      <c r="B685" s="90">
        <v>5</v>
      </c>
      <c r="C685" s="60">
        <v>5</v>
      </c>
      <c r="D685" s="296"/>
      <c r="E685" s="38"/>
      <c r="F685" s="41"/>
      <c r="G685" s="41"/>
      <c r="H685" s="37"/>
      <c r="I685" s="416"/>
    </row>
    <row r="686" spans="1:9" ht="30" customHeight="1">
      <c r="A686" s="56" t="s">
        <v>21</v>
      </c>
      <c r="B686" s="60">
        <v>9</v>
      </c>
      <c r="C686" s="60">
        <v>9</v>
      </c>
      <c r="D686" s="36"/>
      <c r="E686" s="243"/>
      <c r="F686" s="243"/>
      <c r="G686" s="243"/>
      <c r="H686" s="60"/>
      <c r="I686" s="443"/>
    </row>
    <row r="687" spans="1:12" ht="30" customHeight="1">
      <c r="A687" s="56" t="s">
        <v>11</v>
      </c>
      <c r="B687" s="60">
        <v>2</v>
      </c>
      <c r="C687" s="60">
        <v>2</v>
      </c>
      <c r="D687" s="36"/>
      <c r="E687" s="243"/>
      <c r="F687" s="243"/>
      <c r="G687" s="243"/>
      <c r="H687" s="60"/>
      <c r="I687" s="443"/>
      <c r="L687" s="175"/>
    </row>
    <row r="688" spans="1:9" ht="30" customHeight="1">
      <c r="A688" s="51" t="s">
        <v>37</v>
      </c>
      <c r="B688" s="5">
        <v>5</v>
      </c>
      <c r="C688" s="5">
        <v>5</v>
      </c>
      <c r="D688" s="187"/>
      <c r="E688" s="95"/>
      <c r="F688" s="95"/>
      <c r="G688" s="95"/>
      <c r="H688" s="296"/>
      <c r="I688" s="274"/>
    </row>
    <row r="689" spans="1:11" s="9" customFormat="1" ht="30" customHeight="1">
      <c r="A689" s="488" t="s">
        <v>70</v>
      </c>
      <c r="B689" s="488"/>
      <c r="C689" s="488"/>
      <c r="D689" s="488"/>
      <c r="E689" s="488"/>
      <c r="F689" s="488"/>
      <c r="G689" s="488"/>
      <c r="H689" s="488"/>
      <c r="I689" s="488"/>
      <c r="J689" s="61"/>
      <c r="K689" s="334"/>
    </row>
    <row r="690" spans="1:9" ht="30" customHeight="1">
      <c r="A690" s="484" t="s">
        <v>243</v>
      </c>
      <c r="B690" s="484"/>
      <c r="C690" s="484"/>
      <c r="D690" s="21" t="s">
        <v>240</v>
      </c>
      <c r="E690" s="44">
        <v>13.3</v>
      </c>
      <c r="F690" s="44">
        <v>12.9</v>
      </c>
      <c r="G690" s="44">
        <v>10.8</v>
      </c>
      <c r="H690" s="43">
        <f>G690*4+F690*9+E690*4</f>
        <v>212.5</v>
      </c>
      <c r="I690" s="276" t="s">
        <v>238</v>
      </c>
    </row>
    <row r="691" spans="1:8" ht="30" customHeight="1">
      <c r="A691" s="86" t="s">
        <v>88</v>
      </c>
      <c r="B691" s="48">
        <f>C691*1.36</f>
        <v>91.12</v>
      </c>
      <c r="C691" s="5">
        <v>67</v>
      </c>
      <c r="D691" s="36"/>
      <c r="E691" s="95"/>
      <c r="F691" s="44"/>
      <c r="G691" s="44"/>
      <c r="H691" s="43"/>
    </row>
    <row r="692" spans="1:11" s="9" customFormat="1" ht="30" customHeight="1">
      <c r="A692" s="86" t="s">
        <v>89</v>
      </c>
      <c r="B692" s="48">
        <f>C692*1.18</f>
        <v>79.06</v>
      </c>
      <c r="C692" s="35">
        <v>67</v>
      </c>
      <c r="D692" s="36"/>
      <c r="E692" s="44"/>
      <c r="F692" s="44"/>
      <c r="G692" s="44"/>
      <c r="H692" s="43"/>
      <c r="I692" s="275"/>
      <c r="J692" s="114"/>
      <c r="K692" s="344"/>
    </row>
    <row r="693" spans="1:11" s="9" customFormat="1" ht="30" customHeight="1">
      <c r="A693" s="51" t="s">
        <v>10</v>
      </c>
      <c r="B693" s="5">
        <v>14</v>
      </c>
      <c r="C693" s="5">
        <v>14</v>
      </c>
      <c r="D693" s="36"/>
      <c r="E693" s="95"/>
      <c r="F693" s="44"/>
      <c r="G693" s="44"/>
      <c r="H693" s="43"/>
      <c r="I693" s="274"/>
      <c r="J693" s="114"/>
      <c r="K693" s="344"/>
    </row>
    <row r="694" spans="1:11" s="9" customFormat="1" ht="30" customHeight="1">
      <c r="A694" s="53" t="s">
        <v>241</v>
      </c>
      <c r="B694" s="36">
        <v>11</v>
      </c>
      <c r="C694" s="36">
        <v>11</v>
      </c>
      <c r="D694" s="36"/>
      <c r="E694" s="41"/>
      <c r="F694" s="41"/>
      <c r="G694" s="41"/>
      <c r="H694" s="41"/>
      <c r="I694" s="275"/>
      <c r="J694" s="114"/>
      <c r="K694" s="344"/>
    </row>
    <row r="695" spans="1:11" s="9" customFormat="1" ht="30" customHeight="1">
      <c r="A695" s="58" t="s">
        <v>38</v>
      </c>
      <c r="B695" s="89">
        <f>B694*460/1000</f>
        <v>5.06</v>
      </c>
      <c r="C695" s="89">
        <f>C694*460/1000</f>
        <v>5.06</v>
      </c>
      <c r="D695" s="36"/>
      <c r="E695" s="95"/>
      <c r="F695" s="95"/>
      <c r="G695" s="95"/>
      <c r="H695" s="95"/>
      <c r="I695" s="274"/>
      <c r="K695" s="335"/>
    </row>
    <row r="696" spans="1:11" s="9" customFormat="1" ht="30" customHeight="1">
      <c r="A696" s="58" t="s">
        <v>39</v>
      </c>
      <c r="B696" s="89">
        <f>B694*120/1000</f>
        <v>1.32</v>
      </c>
      <c r="C696" s="89">
        <f>C694*120/1000</f>
        <v>1.32</v>
      </c>
      <c r="D696" s="36"/>
      <c r="E696" s="95"/>
      <c r="F696" s="95"/>
      <c r="G696" s="95"/>
      <c r="H696" s="95"/>
      <c r="I696" s="274"/>
      <c r="K696" s="335"/>
    </row>
    <row r="697" spans="1:11" s="9" customFormat="1" ht="30" customHeight="1">
      <c r="A697" s="190" t="s">
        <v>155</v>
      </c>
      <c r="B697" s="191">
        <f>B694-B695</f>
        <v>5.94</v>
      </c>
      <c r="C697" s="191">
        <f>C694-C695</f>
        <v>5.94</v>
      </c>
      <c r="D697" s="36"/>
      <c r="E697" s="95"/>
      <c r="F697" s="95"/>
      <c r="G697" s="95"/>
      <c r="H697" s="95"/>
      <c r="I697" s="274"/>
      <c r="K697" s="335"/>
    </row>
    <row r="698" spans="1:13" s="9" customFormat="1" ht="30" customHeight="1">
      <c r="A698" s="190" t="s">
        <v>156</v>
      </c>
      <c r="B698" s="191">
        <f>B694-B696</f>
        <v>9.68</v>
      </c>
      <c r="C698" s="191">
        <f>C694-C696</f>
        <v>9.68</v>
      </c>
      <c r="D698" s="36"/>
      <c r="E698" s="95"/>
      <c r="F698" s="95"/>
      <c r="G698" s="95"/>
      <c r="H698" s="95"/>
      <c r="I698" s="274"/>
      <c r="J698" s="61"/>
      <c r="K698" s="334"/>
      <c r="L698" s="61"/>
      <c r="M698" s="61"/>
    </row>
    <row r="699" spans="1:11" s="9" customFormat="1" ht="30" customHeight="1">
      <c r="A699" s="53" t="s">
        <v>18</v>
      </c>
      <c r="B699" s="37">
        <f>C699*1.19</f>
        <v>8.33</v>
      </c>
      <c r="C699" s="36">
        <v>7</v>
      </c>
      <c r="D699" s="36"/>
      <c r="E699" s="95"/>
      <c r="F699" s="44"/>
      <c r="G699" s="44"/>
      <c r="H699" s="294"/>
      <c r="I699" s="274"/>
      <c r="K699" s="335"/>
    </row>
    <row r="700" spans="1:11" s="9" customFormat="1" ht="30" customHeight="1">
      <c r="A700" s="53" t="s">
        <v>86</v>
      </c>
      <c r="B700" s="234">
        <v>3.5</v>
      </c>
      <c r="C700" s="234">
        <v>3.5</v>
      </c>
      <c r="D700" s="36"/>
      <c r="E700" s="95"/>
      <c r="F700" s="95"/>
      <c r="G700" s="95"/>
      <c r="H700" s="266"/>
      <c r="I700" s="274"/>
      <c r="K700" s="335"/>
    </row>
    <row r="701" spans="1:11" s="9" customFormat="1" ht="30" customHeight="1">
      <c r="A701" s="53" t="s">
        <v>172</v>
      </c>
      <c r="B701" s="234">
        <v>7</v>
      </c>
      <c r="C701" s="234">
        <v>7</v>
      </c>
      <c r="D701" s="36"/>
      <c r="E701" s="95"/>
      <c r="F701" s="95"/>
      <c r="G701" s="95"/>
      <c r="H701" s="266"/>
      <c r="I701" s="274"/>
      <c r="K701" s="335"/>
    </row>
    <row r="702" spans="1:11" s="9" customFormat="1" ht="30" customHeight="1">
      <c r="A702" s="51" t="s">
        <v>11</v>
      </c>
      <c r="B702" s="5">
        <v>2</v>
      </c>
      <c r="C702" s="5">
        <v>2</v>
      </c>
      <c r="D702" s="36"/>
      <c r="E702" s="95"/>
      <c r="F702" s="44"/>
      <c r="G702" s="44"/>
      <c r="H702" s="43"/>
      <c r="I702" s="274"/>
      <c r="K702" s="335"/>
    </row>
    <row r="703" spans="1:11" s="9" customFormat="1" ht="30" customHeight="1">
      <c r="A703" s="51" t="s">
        <v>37</v>
      </c>
      <c r="B703" s="5">
        <v>5</v>
      </c>
      <c r="C703" s="5">
        <v>5</v>
      </c>
      <c r="D703" s="187"/>
      <c r="E703" s="95"/>
      <c r="F703" s="95"/>
      <c r="G703" s="95"/>
      <c r="H703" s="296"/>
      <c r="I703" s="274"/>
      <c r="K703" s="335"/>
    </row>
    <row r="704" spans="1:11" s="9" customFormat="1" ht="30" customHeight="1">
      <c r="A704" s="484" t="s">
        <v>298</v>
      </c>
      <c r="B704" s="478"/>
      <c r="C704" s="478"/>
      <c r="D704" s="21">
        <v>150</v>
      </c>
      <c r="E704" s="111">
        <v>2.8</v>
      </c>
      <c r="F704" s="111">
        <v>3</v>
      </c>
      <c r="G704" s="111">
        <v>18.9</v>
      </c>
      <c r="H704" s="43">
        <f>E704*4+F704*9+G704*4</f>
        <v>113.8</v>
      </c>
      <c r="I704" s="276" t="s">
        <v>299</v>
      </c>
      <c r="K704" s="335"/>
    </row>
    <row r="705" spans="1:11" s="9" customFormat="1" ht="30" customHeight="1">
      <c r="A705" s="51" t="s">
        <v>56</v>
      </c>
      <c r="B705" s="35">
        <f>C705*1.25</f>
        <v>93.75</v>
      </c>
      <c r="C705" s="5">
        <v>75</v>
      </c>
      <c r="D705" s="5"/>
      <c r="E705" s="5"/>
      <c r="F705" s="5"/>
      <c r="G705" s="21"/>
      <c r="H705" s="21"/>
      <c r="I705" s="275"/>
      <c r="K705" s="335"/>
    </row>
    <row r="706" spans="1:11" s="9" customFormat="1" ht="30" customHeight="1">
      <c r="A706" s="51" t="s">
        <v>148</v>
      </c>
      <c r="B706" s="35">
        <f>C706*1.54</f>
        <v>46.2</v>
      </c>
      <c r="C706" s="5">
        <v>30</v>
      </c>
      <c r="D706" s="5"/>
      <c r="E706" s="5"/>
      <c r="F706" s="5"/>
      <c r="G706" s="5"/>
      <c r="H706" s="5"/>
      <c r="I706" s="275"/>
      <c r="K706" s="335"/>
    </row>
    <row r="707" spans="1:13" s="9" customFormat="1" ht="30" customHeight="1">
      <c r="A707" s="51" t="s">
        <v>361</v>
      </c>
      <c r="B707" s="35">
        <f>C707*1.49</f>
        <v>44.7</v>
      </c>
      <c r="C707" s="5">
        <v>30</v>
      </c>
      <c r="D707" s="5"/>
      <c r="E707" s="5"/>
      <c r="F707" s="5"/>
      <c r="G707" s="21"/>
      <c r="H707" s="21"/>
      <c r="I707" s="275"/>
      <c r="K707" s="335"/>
      <c r="L707" s="61"/>
      <c r="M707" s="114"/>
    </row>
    <row r="708" spans="1:12" s="9" customFormat="1" ht="30" customHeight="1">
      <c r="A708" s="51" t="s">
        <v>362</v>
      </c>
      <c r="B708" s="144">
        <f>C708*1.33</f>
        <v>39.900000000000006</v>
      </c>
      <c r="C708" s="5">
        <v>30</v>
      </c>
      <c r="D708" s="5"/>
      <c r="E708" s="5"/>
      <c r="F708" s="5"/>
      <c r="G708" s="21"/>
      <c r="H708" s="21"/>
      <c r="I708" s="275"/>
      <c r="K708" s="335"/>
      <c r="L708" s="114"/>
    </row>
    <row r="709" spans="1:13" s="9" customFormat="1" ht="30" customHeight="1">
      <c r="A709" s="51" t="s">
        <v>374</v>
      </c>
      <c r="B709" s="144">
        <f>C709*1.05</f>
        <v>31.5</v>
      </c>
      <c r="C709" s="5">
        <v>30</v>
      </c>
      <c r="D709" s="5"/>
      <c r="E709" s="5"/>
      <c r="F709" s="5"/>
      <c r="G709" s="21"/>
      <c r="H709" s="21"/>
      <c r="I709" s="275"/>
      <c r="K709" s="335"/>
      <c r="L709" s="114"/>
      <c r="M709" s="1"/>
    </row>
    <row r="710" spans="1:13" s="9" customFormat="1" ht="30" customHeight="1">
      <c r="A710" s="51" t="s">
        <v>61</v>
      </c>
      <c r="B710" s="35">
        <f>C710*1.25</f>
        <v>18.75</v>
      </c>
      <c r="C710" s="5">
        <v>15</v>
      </c>
      <c r="D710" s="5"/>
      <c r="E710" s="5"/>
      <c r="F710" s="5"/>
      <c r="G710" s="21"/>
      <c r="H710" s="21"/>
      <c r="I710" s="275"/>
      <c r="K710" s="335"/>
      <c r="L710" s="61"/>
      <c r="M710" s="1"/>
    </row>
    <row r="711" spans="1:13" s="9" customFormat="1" ht="30" customHeight="1">
      <c r="A711" s="51" t="s">
        <v>16</v>
      </c>
      <c r="B711" s="35">
        <f>C711*1.33</f>
        <v>19.950000000000003</v>
      </c>
      <c r="C711" s="5">
        <v>15</v>
      </c>
      <c r="D711" s="5"/>
      <c r="E711" s="5"/>
      <c r="F711" s="5"/>
      <c r="G711" s="21"/>
      <c r="H711" s="21"/>
      <c r="I711" s="275"/>
      <c r="K711" s="335"/>
      <c r="M711" s="1"/>
    </row>
    <row r="712" spans="1:13" s="9" customFormat="1" ht="30" customHeight="1">
      <c r="A712" s="51" t="s">
        <v>12</v>
      </c>
      <c r="B712" s="35">
        <f>C712*1.33</f>
        <v>39.900000000000006</v>
      </c>
      <c r="C712" s="5">
        <v>30</v>
      </c>
      <c r="D712" s="5"/>
      <c r="E712" s="5"/>
      <c r="F712" s="5"/>
      <c r="G712" s="5"/>
      <c r="H712" s="5"/>
      <c r="I712" s="274"/>
      <c r="K712" s="335"/>
      <c r="L712" s="70"/>
      <c r="M712" s="1"/>
    </row>
    <row r="713" spans="1:13" s="9" customFormat="1" ht="30" customHeight="1">
      <c r="A713" s="51" t="s">
        <v>13</v>
      </c>
      <c r="B713" s="35">
        <f>C713*1.43</f>
        <v>42.9</v>
      </c>
      <c r="C713" s="5">
        <v>30</v>
      </c>
      <c r="D713" s="5"/>
      <c r="E713" s="5"/>
      <c r="F713" s="5"/>
      <c r="G713" s="5"/>
      <c r="H713" s="5"/>
      <c r="I713" s="274"/>
      <c r="K713" s="335"/>
      <c r="L713" s="176"/>
      <c r="M713" s="1"/>
    </row>
    <row r="714" spans="1:13" s="9" customFormat="1" ht="30" customHeight="1">
      <c r="A714" s="51" t="s">
        <v>14</v>
      </c>
      <c r="B714" s="35">
        <f>C714*1.54</f>
        <v>46.2</v>
      </c>
      <c r="C714" s="5">
        <v>30</v>
      </c>
      <c r="D714" s="5"/>
      <c r="E714" s="5"/>
      <c r="F714" s="5"/>
      <c r="G714" s="5"/>
      <c r="H714" s="5"/>
      <c r="I714" s="274"/>
      <c r="K714" s="335"/>
      <c r="L714" s="176"/>
      <c r="M714" s="63"/>
    </row>
    <row r="715" spans="1:13" s="9" customFormat="1" ht="30" customHeight="1">
      <c r="A715" s="53" t="s">
        <v>15</v>
      </c>
      <c r="B715" s="35">
        <f>C715*1.67</f>
        <v>50.099999999999994</v>
      </c>
      <c r="C715" s="5">
        <v>30</v>
      </c>
      <c r="D715" s="5"/>
      <c r="E715" s="5"/>
      <c r="F715" s="5"/>
      <c r="G715" s="21"/>
      <c r="H715" s="21"/>
      <c r="I715" s="275"/>
      <c r="K715" s="335"/>
      <c r="L715" s="15"/>
      <c r="M715" s="1"/>
    </row>
    <row r="716" spans="1:13" s="9" customFormat="1" ht="30" customHeight="1">
      <c r="A716" s="51" t="s">
        <v>18</v>
      </c>
      <c r="B716" s="35">
        <f>C716*1.19</f>
        <v>17.849999999999998</v>
      </c>
      <c r="C716" s="5">
        <v>15</v>
      </c>
      <c r="D716" s="5"/>
      <c r="E716" s="5"/>
      <c r="F716" s="5"/>
      <c r="G716" s="21"/>
      <c r="H716" s="21"/>
      <c r="I716" s="274"/>
      <c r="K716" s="335"/>
      <c r="M716" s="63"/>
    </row>
    <row r="717" spans="1:13" s="9" customFormat="1" ht="30" customHeight="1">
      <c r="A717" s="51" t="s">
        <v>11</v>
      </c>
      <c r="B717" s="35">
        <v>4</v>
      </c>
      <c r="C717" s="35">
        <v>4</v>
      </c>
      <c r="D717" s="5"/>
      <c r="E717" s="5"/>
      <c r="F717" s="5"/>
      <c r="G717" s="21"/>
      <c r="H717" s="21"/>
      <c r="I717" s="274"/>
      <c r="K717" s="335"/>
      <c r="M717" s="63"/>
    </row>
    <row r="718" spans="1:13" s="9" customFormat="1" ht="30" customHeight="1">
      <c r="A718" s="51" t="s">
        <v>57</v>
      </c>
      <c r="B718" s="35">
        <v>15</v>
      </c>
      <c r="C718" s="35">
        <v>15</v>
      </c>
      <c r="D718" s="5"/>
      <c r="E718" s="5"/>
      <c r="F718" s="5"/>
      <c r="G718" s="21"/>
      <c r="H718" s="21"/>
      <c r="I718" s="275"/>
      <c r="K718" s="335"/>
      <c r="M718" s="63"/>
    </row>
    <row r="719" spans="1:13" s="9" customFormat="1" ht="30" customHeight="1">
      <c r="A719" s="51" t="s">
        <v>21</v>
      </c>
      <c r="B719" s="5">
        <v>1.5</v>
      </c>
      <c r="C719" s="5">
        <v>1.5</v>
      </c>
      <c r="D719" s="5"/>
      <c r="E719" s="5"/>
      <c r="F719" s="5"/>
      <c r="G719" s="21"/>
      <c r="H719" s="21"/>
      <c r="I719" s="275"/>
      <c r="K719" s="335"/>
      <c r="M719" s="63"/>
    </row>
    <row r="720" spans="1:13" s="9" customFormat="1" ht="30" customHeight="1">
      <c r="A720" s="356" t="s">
        <v>229</v>
      </c>
      <c r="B720" s="23">
        <v>200</v>
      </c>
      <c r="C720" s="23">
        <v>200</v>
      </c>
      <c r="D720" s="23">
        <v>200</v>
      </c>
      <c r="E720" s="44">
        <v>0.5</v>
      </c>
      <c r="F720" s="110">
        <v>0.1</v>
      </c>
      <c r="G720" s="110">
        <v>28</v>
      </c>
      <c r="H720" s="256">
        <f>G720*4+F720*9+E720*4</f>
        <v>114.9</v>
      </c>
      <c r="I720" s="261" t="s">
        <v>230</v>
      </c>
      <c r="K720" s="335"/>
      <c r="M720" s="63"/>
    </row>
    <row r="721" spans="1:13" s="9" customFormat="1" ht="30" customHeight="1">
      <c r="A721" s="483" t="s">
        <v>70</v>
      </c>
      <c r="B721" s="483"/>
      <c r="C721" s="483"/>
      <c r="D721" s="483"/>
      <c r="E721" s="483"/>
      <c r="F721" s="483"/>
      <c r="G721" s="483"/>
      <c r="H721" s="483"/>
      <c r="I721" s="275"/>
      <c r="K721" s="335"/>
      <c r="M721" s="1"/>
    </row>
    <row r="722" spans="1:13" s="9" customFormat="1" ht="30" customHeight="1">
      <c r="A722" s="491" t="s">
        <v>300</v>
      </c>
      <c r="B722" s="491"/>
      <c r="C722" s="491"/>
      <c r="D722" s="26">
        <v>200</v>
      </c>
      <c r="E722" s="45">
        <v>0.9</v>
      </c>
      <c r="F722" s="45">
        <v>0</v>
      </c>
      <c r="G722" s="45">
        <v>28.7</v>
      </c>
      <c r="H722" s="43">
        <f>E722*4+F722*9+G722*4</f>
        <v>118.39999999999999</v>
      </c>
      <c r="I722" s="261" t="s">
        <v>507</v>
      </c>
      <c r="K722" s="335"/>
      <c r="M722" s="1"/>
    </row>
    <row r="723" spans="1:13" s="9" customFormat="1" ht="30" customHeight="1">
      <c r="A723" s="53" t="s">
        <v>125</v>
      </c>
      <c r="B723" s="36">
        <v>25</v>
      </c>
      <c r="C723" s="36">
        <v>25</v>
      </c>
      <c r="D723" s="36"/>
      <c r="E723" s="95"/>
      <c r="F723" s="95"/>
      <c r="G723" s="95"/>
      <c r="H723" s="95"/>
      <c r="I723" s="274"/>
      <c r="K723" s="335"/>
      <c r="M723" s="63"/>
    </row>
    <row r="724" spans="1:13" ht="30" customHeight="1">
      <c r="A724" s="53" t="s">
        <v>4</v>
      </c>
      <c r="B724" s="36">
        <v>15</v>
      </c>
      <c r="C724" s="36">
        <v>15</v>
      </c>
      <c r="D724" s="36"/>
      <c r="E724" s="242"/>
      <c r="F724" s="242"/>
      <c r="G724" s="242"/>
      <c r="H724" s="267"/>
      <c r="I724" s="274"/>
      <c r="M724" s="63"/>
    </row>
    <row r="725" spans="1:13" ht="30" customHeight="1">
      <c r="A725" s="354" t="s">
        <v>20</v>
      </c>
      <c r="B725" s="36">
        <v>40</v>
      </c>
      <c r="C725" s="36">
        <v>40</v>
      </c>
      <c r="D725" s="23">
        <v>40</v>
      </c>
      <c r="E725" s="110">
        <v>1.8</v>
      </c>
      <c r="F725" s="110">
        <v>0.4</v>
      </c>
      <c r="G725" s="110">
        <v>17.4</v>
      </c>
      <c r="H725" s="256">
        <v>82</v>
      </c>
      <c r="M725" s="63"/>
    </row>
    <row r="726" spans="1:13" s="9" customFormat="1" ht="30" customHeight="1">
      <c r="A726" s="477" t="s">
        <v>75</v>
      </c>
      <c r="B726" s="478"/>
      <c r="C726" s="478"/>
      <c r="D726" s="77">
        <v>40</v>
      </c>
      <c r="E726" s="95"/>
      <c r="F726" s="95"/>
      <c r="G726" s="95"/>
      <c r="H726" s="95"/>
      <c r="I726" s="274"/>
      <c r="K726" s="335"/>
      <c r="M726" s="1"/>
    </row>
    <row r="727" spans="1:13" s="9" customFormat="1" ht="30" customHeight="1">
      <c r="A727" s="212" t="s">
        <v>26</v>
      </c>
      <c r="B727" s="36">
        <v>40</v>
      </c>
      <c r="C727" s="36">
        <v>40</v>
      </c>
      <c r="D727" s="23">
        <v>40</v>
      </c>
      <c r="E727" s="110">
        <v>1.4</v>
      </c>
      <c r="F727" s="110">
        <v>0.4</v>
      </c>
      <c r="G727" s="110">
        <v>18.8</v>
      </c>
      <c r="H727" s="256">
        <v>82</v>
      </c>
      <c r="I727" s="275"/>
      <c r="K727" s="335"/>
      <c r="M727" s="1"/>
    </row>
    <row r="728" spans="1:11" s="9" customFormat="1" ht="30" customHeight="1">
      <c r="A728" s="475" t="s">
        <v>24</v>
      </c>
      <c r="B728" s="475"/>
      <c r="C728" s="475"/>
      <c r="D728" s="475"/>
      <c r="E728" s="384">
        <f>E646+E591</f>
        <v>47</v>
      </c>
      <c r="F728" s="384">
        <f>F646+F591</f>
        <v>49.4</v>
      </c>
      <c r="G728" s="384">
        <f>G646+G591</f>
        <v>182</v>
      </c>
      <c r="H728" s="383">
        <f>H646+H591</f>
        <v>1358.8999999999999</v>
      </c>
      <c r="I728" s="275"/>
      <c r="K728" s="335"/>
    </row>
    <row r="729" spans="1:9" ht="30" customHeight="1">
      <c r="A729" s="490" t="s">
        <v>389</v>
      </c>
      <c r="B729" s="490"/>
      <c r="C729" s="490"/>
      <c r="D729" s="490"/>
      <c r="E729" s="490"/>
      <c r="F729" s="490"/>
      <c r="G729" s="490"/>
      <c r="H729" s="490"/>
      <c r="I729" s="490"/>
    </row>
    <row r="730" spans="1:11" s="9" customFormat="1" ht="30" customHeight="1">
      <c r="A730" s="487" t="s">
        <v>0</v>
      </c>
      <c r="B730" s="476" t="s">
        <v>6</v>
      </c>
      <c r="C730" s="476" t="s">
        <v>7</v>
      </c>
      <c r="D730" s="487" t="s">
        <v>5</v>
      </c>
      <c r="E730" s="487"/>
      <c r="F730" s="487"/>
      <c r="G730" s="487"/>
      <c r="H730" s="487"/>
      <c r="I730" s="487"/>
      <c r="K730" s="335"/>
    </row>
    <row r="731" spans="1:9" ht="30" customHeight="1">
      <c r="A731" s="487"/>
      <c r="B731" s="476"/>
      <c r="C731" s="476"/>
      <c r="D731" s="138" t="s">
        <v>8</v>
      </c>
      <c r="E731" s="301" t="s">
        <v>1</v>
      </c>
      <c r="F731" s="301" t="s">
        <v>2</v>
      </c>
      <c r="G731" s="301" t="s">
        <v>9</v>
      </c>
      <c r="H731" s="300" t="s">
        <v>3</v>
      </c>
      <c r="I731" s="302" t="s">
        <v>199</v>
      </c>
    </row>
    <row r="732" spans="1:9" ht="30" customHeight="1">
      <c r="A732" s="479" t="s">
        <v>109</v>
      </c>
      <c r="B732" s="479"/>
      <c r="C732" s="479"/>
      <c r="D732" s="263">
        <f>D736+40+D754+D758</f>
        <v>600</v>
      </c>
      <c r="E732" s="99">
        <f>E736+E733+E754++E757+E758</f>
        <v>19.999999999999996</v>
      </c>
      <c r="F732" s="99">
        <f>F736+F733+F754++F757+F758</f>
        <v>19.599999999999998</v>
      </c>
      <c r="G732" s="99">
        <f>G736+G733+G754++G757+G758</f>
        <v>68.6</v>
      </c>
      <c r="H732" s="96">
        <f>H736+H733+H754++H757+H758</f>
        <v>534.5</v>
      </c>
      <c r="I732" s="274"/>
    </row>
    <row r="733" spans="1:11" s="9" customFormat="1" ht="30" customHeight="1">
      <c r="A733" s="477" t="s">
        <v>331</v>
      </c>
      <c r="B733" s="477"/>
      <c r="C733" s="477"/>
      <c r="D733" s="294" t="s">
        <v>121</v>
      </c>
      <c r="E733" s="44">
        <v>1.9</v>
      </c>
      <c r="F733" s="44">
        <v>0.4</v>
      </c>
      <c r="G733" s="44">
        <v>27.7</v>
      </c>
      <c r="H733" s="43">
        <f>G733*4+F733*9+E733*4</f>
        <v>121.99999999999999</v>
      </c>
      <c r="I733" s="232" t="s">
        <v>332</v>
      </c>
      <c r="K733" s="335"/>
    </row>
    <row r="734" spans="1:11" s="9" customFormat="1" ht="30" customHeight="1">
      <c r="A734" s="56" t="s">
        <v>133</v>
      </c>
      <c r="B734" s="36">
        <v>20</v>
      </c>
      <c r="C734" s="36">
        <v>20</v>
      </c>
      <c r="D734" s="26"/>
      <c r="E734" s="45"/>
      <c r="F734" s="45"/>
      <c r="G734" s="45"/>
      <c r="H734" s="43"/>
      <c r="I734" s="275"/>
      <c r="K734" s="335"/>
    </row>
    <row r="735" spans="1:13" s="9" customFormat="1" ht="30" customHeight="1">
      <c r="A735" s="56" t="s">
        <v>333</v>
      </c>
      <c r="B735" s="36">
        <v>20.4</v>
      </c>
      <c r="C735" s="36">
        <v>20</v>
      </c>
      <c r="D735" s="36"/>
      <c r="E735" s="110"/>
      <c r="F735" s="110"/>
      <c r="G735" s="110"/>
      <c r="H735" s="110"/>
      <c r="I735" s="365"/>
      <c r="K735" s="335"/>
      <c r="M735" s="61"/>
    </row>
    <row r="736" spans="1:12" s="9" customFormat="1" ht="30" customHeight="1">
      <c r="A736" s="482" t="s">
        <v>279</v>
      </c>
      <c r="B736" s="478"/>
      <c r="C736" s="478"/>
      <c r="D736" s="23">
        <v>200</v>
      </c>
      <c r="E736" s="44">
        <v>16.8</v>
      </c>
      <c r="F736" s="44">
        <v>18.9</v>
      </c>
      <c r="G736" s="44">
        <v>4.6</v>
      </c>
      <c r="H736" s="43">
        <f>G736*4+F736*9+E736*4</f>
        <v>255.7</v>
      </c>
      <c r="I736" s="276" t="s">
        <v>277</v>
      </c>
      <c r="K736" s="343" t="s">
        <v>47</v>
      </c>
      <c r="L736" s="61"/>
    </row>
    <row r="737" spans="1:12" s="9" customFormat="1" ht="30" customHeight="1">
      <c r="A737" s="53" t="s">
        <v>86</v>
      </c>
      <c r="B737" s="37">
        <v>125</v>
      </c>
      <c r="C737" s="37">
        <v>125</v>
      </c>
      <c r="D737" s="36"/>
      <c r="E737" s="95"/>
      <c r="F737" s="95"/>
      <c r="G737" s="95"/>
      <c r="H737" s="95"/>
      <c r="I737" s="274"/>
      <c r="K737" s="322" t="s">
        <v>26</v>
      </c>
      <c r="L737" s="9">
        <f>D816+C757</f>
        <v>60</v>
      </c>
    </row>
    <row r="738" spans="1:12" s="9" customFormat="1" ht="30" customHeight="1">
      <c r="A738" s="53" t="s">
        <v>52</v>
      </c>
      <c r="B738" s="37">
        <v>47</v>
      </c>
      <c r="C738" s="37">
        <v>47</v>
      </c>
      <c r="D738" s="36"/>
      <c r="E738" s="41"/>
      <c r="F738" s="41"/>
      <c r="G738" s="41"/>
      <c r="H738" s="36"/>
      <c r="I738" s="275"/>
      <c r="K738" s="322" t="s">
        <v>131</v>
      </c>
      <c r="L738" s="9">
        <f>D814+C734</f>
        <v>70</v>
      </c>
    </row>
    <row r="739" spans="1:12" ht="30" customHeight="1">
      <c r="A739" s="58" t="s">
        <v>38</v>
      </c>
      <c r="B739" s="89">
        <f>B738*460/1000</f>
        <v>21.62</v>
      </c>
      <c r="C739" s="89">
        <f>C738*460/1000</f>
        <v>21.62</v>
      </c>
      <c r="D739" s="139"/>
      <c r="E739" s="44"/>
      <c r="F739" s="44"/>
      <c r="G739" s="44"/>
      <c r="H739" s="43"/>
      <c r="K739" s="322" t="s">
        <v>161</v>
      </c>
      <c r="L739" s="62">
        <f>C794</f>
        <v>2</v>
      </c>
    </row>
    <row r="740" spans="1:12" s="9" customFormat="1" ht="30" customHeight="1">
      <c r="A740" s="58" t="s">
        <v>39</v>
      </c>
      <c r="B740" s="89">
        <f>B738*120/1000</f>
        <v>5.64</v>
      </c>
      <c r="C740" s="89">
        <f>C738*120/1000</f>
        <v>5.64</v>
      </c>
      <c r="D740" s="139"/>
      <c r="E740" s="44"/>
      <c r="F740" s="44"/>
      <c r="G740" s="44"/>
      <c r="H740" s="43"/>
      <c r="I740" s="274"/>
      <c r="K740" s="322" t="s">
        <v>67</v>
      </c>
      <c r="L740" s="17">
        <f>C808</f>
        <v>54</v>
      </c>
    </row>
    <row r="741" spans="1:12" s="9" customFormat="1" ht="30" customHeight="1">
      <c r="A741" s="190" t="s">
        <v>155</v>
      </c>
      <c r="B741" s="191">
        <f>B738-B739</f>
        <v>25.38</v>
      </c>
      <c r="C741" s="191">
        <f>C738-C739</f>
        <v>25.38</v>
      </c>
      <c r="D741" s="192"/>
      <c r="E741" s="193"/>
      <c r="F741" s="193"/>
      <c r="G741" s="193"/>
      <c r="H741" s="264"/>
      <c r="I741" s="274"/>
      <c r="K741" s="322" t="s">
        <v>66</v>
      </c>
      <c r="L741" s="17"/>
    </row>
    <row r="742" spans="1:13" s="9" customFormat="1" ht="30" customHeight="1">
      <c r="A742" s="190" t="s">
        <v>156</v>
      </c>
      <c r="B742" s="191">
        <f>B738-B740</f>
        <v>41.36</v>
      </c>
      <c r="C742" s="191">
        <f>C738-C740</f>
        <v>41.36</v>
      </c>
      <c r="D742" s="192"/>
      <c r="E742" s="193"/>
      <c r="F742" s="193"/>
      <c r="G742" s="193"/>
      <c r="H742" s="264"/>
      <c r="I742" s="274"/>
      <c r="J742" s="61"/>
      <c r="K742" s="322" t="s">
        <v>27</v>
      </c>
      <c r="L742" s="62">
        <f>C772</f>
        <v>100</v>
      </c>
      <c r="M742" s="61"/>
    </row>
    <row r="743" spans="1:13" s="9" customFormat="1" ht="30" customHeight="1">
      <c r="A743" s="53" t="s">
        <v>11</v>
      </c>
      <c r="B743" s="36">
        <v>3</v>
      </c>
      <c r="C743" s="36">
        <v>3</v>
      </c>
      <c r="D743" s="36"/>
      <c r="E743" s="95"/>
      <c r="F743" s="95"/>
      <c r="G743" s="95"/>
      <c r="H743" s="296"/>
      <c r="I743" s="274"/>
      <c r="K743" s="322" t="s">
        <v>210</v>
      </c>
      <c r="L743" s="17">
        <f>C747+C761+C764+C770+C776+C778+C784+C787+C792+C793+C795+C796</f>
        <v>161.1</v>
      </c>
      <c r="M743" s="114"/>
    </row>
    <row r="744" spans="1:13" s="9" customFormat="1" ht="30" customHeight="1">
      <c r="A744" s="53" t="s">
        <v>117</v>
      </c>
      <c r="B744" s="36"/>
      <c r="C744" s="36">
        <v>165</v>
      </c>
      <c r="D744" s="36"/>
      <c r="E744" s="95"/>
      <c r="F744" s="95"/>
      <c r="G744" s="95"/>
      <c r="H744" s="296"/>
      <c r="I744" s="274"/>
      <c r="K744" s="322" t="s">
        <v>28</v>
      </c>
      <c r="L744" s="9">
        <f>D758+C812</f>
        <v>185</v>
      </c>
      <c r="M744" s="114"/>
    </row>
    <row r="745" spans="1:11" s="9" customFormat="1" ht="30" customHeight="1">
      <c r="A745" s="53" t="s">
        <v>37</v>
      </c>
      <c r="B745" s="36">
        <v>5</v>
      </c>
      <c r="C745" s="36">
        <v>5</v>
      </c>
      <c r="D745" s="36"/>
      <c r="E745" s="95"/>
      <c r="F745" s="95"/>
      <c r="G745" s="44"/>
      <c r="H745" s="294"/>
      <c r="I745" s="274"/>
      <c r="K745" s="322" t="s">
        <v>177</v>
      </c>
    </row>
    <row r="746" spans="1:12" s="9" customFormat="1" ht="30" customHeight="1">
      <c r="A746" s="124" t="s">
        <v>278</v>
      </c>
      <c r="B746" s="36"/>
      <c r="C746" s="36"/>
      <c r="D746" s="23">
        <v>30</v>
      </c>
      <c r="E746" s="95"/>
      <c r="F746" s="95"/>
      <c r="G746" s="44"/>
      <c r="H746" s="294"/>
      <c r="I746" s="276" t="s">
        <v>280</v>
      </c>
      <c r="J746" s="61"/>
      <c r="K746" s="322" t="s">
        <v>211</v>
      </c>
      <c r="L746" s="174">
        <f>C813+C756</f>
        <v>27</v>
      </c>
    </row>
    <row r="747" spans="1:11" s="9" customFormat="1" ht="30" customHeight="1">
      <c r="A747" s="57" t="s">
        <v>50</v>
      </c>
      <c r="B747" s="49">
        <f>C747*1.54</f>
        <v>46.2</v>
      </c>
      <c r="C747" s="153">
        <v>30</v>
      </c>
      <c r="D747" s="153"/>
      <c r="E747" s="109"/>
      <c r="F747" s="109"/>
      <c r="G747" s="109"/>
      <c r="H747" s="88"/>
      <c r="I747" s="274"/>
      <c r="K747" s="322" t="s">
        <v>375</v>
      </c>
    </row>
    <row r="748" spans="1:12" s="9" customFormat="1" ht="30" customHeight="1">
      <c r="A748" s="57" t="s">
        <v>368</v>
      </c>
      <c r="B748" s="49">
        <f>C748*1.05</f>
        <v>31.5</v>
      </c>
      <c r="C748" s="153">
        <v>30</v>
      </c>
      <c r="D748" s="153"/>
      <c r="E748" s="109"/>
      <c r="F748" s="109"/>
      <c r="G748" s="109"/>
      <c r="H748" s="88"/>
      <c r="I748" s="274"/>
      <c r="K748" s="337" t="s">
        <v>29</v>
      </c>
      <c r="L748" s="9">
        <f>C735</f>
        <v>20</v>
      </c>
    </row>
    <row r="749" spans="1:12" s="9" customFormat="1" ht="30" customHeight="1">
      <c r="A749" s="154" t="s">
        <v>118</v>
      </c>
      <c r="B749" s="49">
        <f>C749*1.67</f>
        <v>50.099999999999994</v>
      </c>
      <c r="C749" s="153">
        <v>30</v>
      </c>
      <c r="D749" s="153"/>
      <c r="E749" s="109"/>
      <c r="F749" s="109"/>
      <c r="G749" s="109"/>
      <c r="H749" s="88"/>
      <c r="I749" s="274"/>
      <c r="K749" s="322" t="s">
        <v>71</v>
      </c>
      <c r="L749" s="170"/>
    </row>
    <row r="750" spans="1:11" s="9" customFormat="1" ht="30" customHeight="1">
      <c r="A750" s="481" t="s">
        <v>70</v>
      </c>
      <c r="B750" s="481"/>
      <c r="C750" s="481"/>
      <c r="D750" s="481"/>
      <c r="E750" s="481"/>
      <c r="F750" s="481"/>
      <c r="G750" s="481"/>
      <c r="H750" s="481"/>
      <c r="I750" s="481"/>
      <c r="K750" s="322" t="s">
        <v>189</v>
      </c>
    </row>
    <row r="751" spans="1:11" s="9" customFormat="1" ht="30" customHeight="1">
      <c r="A751" s="482" t="s">
        <v>377</v>
      </c>
      <c r="B751" s="482"/>
      <c r="C751" s="482"/>
      <c r="D751" s="26">
        <v>30</v>
      </c>
      <c r="E751" s="45"/>
      <c r="F751" s="45"/>
      <c r="G751" s="45"/>
      <c r="H751" s="43"/>
      <c r="I751" s="235" t="s">
        <v>376</v>
      </c>
      <c r="K751" s="322" t="s">
        <v>190</v>
      </c>
    </row>
    <row r="752" spans="1:12" s="9" customFormat="1" ht="30" customHeight="1">
      <c r="A752" s="56" t="s">
        <v>355</v>
      </c>
      <c r="B752" s="41">
        <f>C752*1.05</f>
        <v>36.75</v>
      </c>
      <c r="C752" s="36">
        <v>35</v>
      </c>
      <c r="D752" s="36"/>
      <c r="E752" s="41"/>
      <c r="F752" s="41"/>
      <c r="G752" s="41"/>
      <c r="H752" s="37"/>
      <c r="I752" s="283"/>
      <c r="K752" s="338" t="s">
        <v>30</v>
      </c>
      <c r="L752" s="9">
        <f>C755</f>
        <v>1</v>
      </c>
    </row>
    <row r="753" spans="1:12" s="9" customFormat="1" ht="30" customHeight="1">
      <c r="A753" s="56" t="s">
        <v>372</v>
      </c>
      <c r="B753" s="41">
        <f>C753*1.05</f>
        <v>36.75</v>
      </c>
      <c r="C753" s="36">
        <v>35</v>
      </c>
      <c r="D753" s="36"/>
      <c r="E753" s="41"/>
      <c r="F753" s="41"/>
      <c r="G753" s="41"/>
      <c r="H753" s="37"/>
      <c r="I753" s="283"/>
      <c r="K753" s="322" t="s">
        <v>179</v>
      </c>
      <c r="L753" s="17"/>
    </row>
    <row r="754" spans="1:12" s="9" customFormat="1" ht="30" customHeight="1">
      <c r="A754" s="213" t="s">
        <v>236</v>
      </c>
      <c r="B754" s="5"/>
      <c r="C754" s="5"/>
      <c r="D754" s="21">
        <v>200</v>
      </c>
      <c r="E754" s="21">
        <v>0.2</v>
      </c>
      <c r="F754" s="111">
        <v>0</v>
      </c>
      <c r="G754" s="21">
        <v>11.9</v>
      </c>
      <c r="H754" s="21">
        <v>53</v>
      </c>
      <c r="I754" s="276" t="s">
        <v>237</v>
      </c>
      <c r="K754" s="322" t="s">
        <v>181</v>
      </c>
      <c r="L754" s="17">
        <f>C789</f>
        <v>69</v>
      </c>
    </row>
    <row r="755" spans="1:11" s="9" customFormat="1" ht="30" customHeight="1">
      <c r="A755" s="51" t="s">
        <v>114</v>
      </c>
      <c r="B755" s="5">
        <v>1</v>
      </c>
      <c r="C755" s="5">
        <v>1</v>
      </c>
      <c r="D755" s="5"/>
      <c r="E755" s="5"/>
      <c r="F755" s="5"/>
      <c r="G755" s="5"/>
      <c r="H755" s="5"/>
      <c r="I755" s="275"/>
      <c r="K755" s="322" t="s">
        <v>180</v>
      </c>
    </row>
    <row r="756" spans="1:12" ht="30" customHeight="1">
      <c r="A756" s="51" t="s">
        <v>4</v>
      </c>
      <c r="B756" s="5">
        <v>12</v>
      </c>
      <c r="C756" s="5">
        <v>12</v>
      </c>
      <c r="D756" s="5"/>
      <c r="E756" s="5"/>
      <c r="F756" s="5"/>
      <c r="G756" s="43"/>
      <c r="H756" s="294"/>
      <c r="K756" s="322" t="s">
        <v>182</v>
      </c>
      <c r="L756" s="62">
        <f>C781+C782</f>
        <v>68</v>
      </c>
    </row>
    <row r="757" spans="1:12" ht="30" customHeight="1">
      <c r="A757" s="212" t="s">
        <v>26</v>
      </c>
      <c r="B757" s="36">
        <v>20</v>
      </c>
      <c r="C757" s="36">
        <v>20</v>
      </c>
      <c r="D757" s="23">
        <v>20</v>
      </c>
      <c r="E757" s="110">
        <v>0.7</v>
      </c>
      <c r="F757" s="110">
        <v>0.2</v>
      </c>
      <c r="G757" s="110">
        <v>9.4</v>
      </c>
      <c r="H757" s="256">
        <v>41.3</v>
      </c>
      <c r="K757" s="327" t="s">
        <v>82</v>
      </c>
      <c r="L757" s="62">
        <f>C738</f>
        <v>47</v>
      </c>
    </row>
    <row r="758" spans="1:12" s="9" customFormat="1" ht="30" customHeight="1">
      <c r="A758" s="482" t="s">
        <v>96</v>
      </c>
      <c r="B758" s="478"/>
      <c r="C758" s="478"/>
      <c r="D758" s="26">
        <v>160</v>
      </c>
      <c r="E758" s="45">
        <v>0.4</v>
      </c>
      <c r="F758" s="45">
        <v>0.1</v>
      </c>
      <c r="G758" s="45">
        <v>15</v>
      </c>
      <c r="H758" s="43">
        <f>E758*4+F758*9+G758*4</f>
        <v>62.5</v>
      </c>
      <c r="I758" s="276" t="s">
        <v>215</v>
      </c>
      <c r="K758" s="329" t="s">
        <v>183</v>
      </c>
      <c r="L758" s="62"/>
    </row>
    <row r="759" spans="1:11" s="9" customFormat="1" ht="30" customHeight="1">
      <c r="A759" s="479" t="s">
        <v>58</v>
      </c>
      <c r="B759" s="479"/>
      <c r="C759" s="479"/>
      <c r="D759" s="263">
        <f>D760+285+D788+D811+D807</f>
        <v>795</v>
      </c>
      <c r="E759" s="99">
        <f>E760+E771+E788+E811+E814+E816+E807</f>
        <v>27.599999999999998</v>
      </c>
      <c r="F759" s="99">
        <f>F760+F771+F788+F811+F814+F816+F807</f>
        <v>23.2</v>
      </c>
      <c r="G759" s="99">
        <f>G760+G771+G788+G811+G814+G816+G807</f>
        <v>118.05000000000001</v>
      </c>
      <c r="H759" s="99">
        <f>H760+H771+H788+H811+H814+H816+H807</f>
        <v>789</v>
      </c>
      <c r="I759" s="273"/>
      <c r="K759" s="322" t="s">
        <v>184</v>
      </c>
    </row>
    <row r="760" spans="1:11" s="9" customFormat="1" ht="30" customHeight="1">
      <c r="A760" s="477" t="s">
        <v>385</v>
      </c>
      <c r="B760" s="477"/>
      <c r="C760" s="477"/>
      <c r="D760" s="294">
        <v>60</v>
      </c>
      <c r="E760" s="44">
        <v>0.8</v>
      </c>
      <c r="F760" s="44">
        <v>3</v>
      </c>
      <c r="G760" s="44">
        <v>2.3</v>
      </c>
      <c r="H760" s="43">
        <f>G760*4+F760*9+E760*4</f>
        <v>39.400000000000006</v>
      </c>
      <c r="I760" s="288" t="s">
        <v>386</v>
      </c>
      <c r="K760" s="322" t="s">
        <v>31</v>
      </c>
    </row>
    <row r="761" spans="1:11" ht="30" customHeight="1">
      <c r="A761" s="51" t="s">
        <v>56</v>
      </c>
      <c r="B761" s="37">
        <f>C761*1.25</f>
        <v>75</v>
      </c>
      <c r="C761" s="36">
        <v>60</v>
      </c>
      <c r="D761" s="294"/>
      <c r="E761" s="44"/>
      <c r="F761" s="44"/>
      <c r="G761" s="44"/>
      <c r="H761" s="43"/>
      <c r="I761" s="210"/>
      <c r="K761" s="322" t="s">
        <v>185</v>
      </c>
    </row>
    <row r="762" spans="1:12" s="9" customFormat="1" ht="30" customHeight="1">
      <c r="A762" s="289" t="s">
        <v>387</v>
      </c>
      <c r="B762" s="37"/>
      <c r="C762" s="36">
        <v>37</v>
      </c>
      <c r="D762" s="294"/>
      <c r="E762" s="41"/>
      <c r="F762" s="41"/>
      <c r="G762" s="41"/>
      <c r="H762" s="37"/>
      <c r="I762" s="241"/>
      <c r="K762" s="322" t="s">
        <v>32</v>
      </c>
      <c r="L762" s="62">
        <f>C779+C745+C810</f>
        <v>14</v>
      </c>
    </row>
    <row r="763" spans="1:12" s="9" customFormat="1" ht="30" customHeight="1">
      <c r="A763" s="511" t="s">
        <v>506</v>
      </c>
      <c r="B763" s="511"/>
      <c r="C763" s="511"/>
      <c r="D763" s="23"/>
      <c r="E763" s="36"/>
      <c r="F763" s="36"/>
      <c r="G763" s="36"/>
      <c r="H763" s="37"/>
      <c r="I763" s="290"/>
      <c r="K763" s="322" t="s">
        <v>33</v>
      </c>
      <c r="L763" s="62">
        <f>C769+C743+C790</f>
        <v>10</v>
      </c>
    </row>
    <row r="764" spans="1:12" s="9" customFormat="1" ht="30" customHeight="1">
      <c r="A764" s="56" t="s">
        <v>388</v>
      </c>
      <c r="B764" s="243">
        <f>C764*1.02</f>
        <v>20.4</v>
      </c>
      <c r="C764" s="60">
        <v>20</v>
      </c>
      <c r="D764" s="23"/>
      <c r="E764" s="110"/>
      <c r="F764" s="110"/>
      <c r="G764" s="110"/>
      <c r="H764" s="256"/>
      <c r="I764" s="246"/>
      <c r="K764" s="322" t="s">
        <v>186</v>
      </c>
      <c r="L764" s="62">
        <f>C737+C785</f>
        <v>126.8</v>
      </c>
    </row>
    <row r="765" spans="1:11" s="9" customFormat="1" ht="30" customHeight="1">
      <c r="A765" s="53" t="s">
        <v>346</v>
      </c>
      <c r="B765" s="90">
        <f>C765*1.05</f>
        <v>21</v>
      </c>
      <c r="C765" s="60">
        <v>20</v>
      </c>
      <c r="D765" s="23"/>
      <c r="E765" s="110"/>
      <c r="F765" s="110"/>
      <c r="G765" s="110"/>
      <c r="H765" s="256"/>
      <c r="I765" s="365"/>
      <c r="K765" s="322" t="s">
        <v>352</v>
      </c>
    </row>
    <row r="766" spans="1:12" s="9" customFormat="1" ht="30" customHeight="1">
      <c r="A766" s="53" t="s">
        <v>348</v>
      </c>
      <c r="B766" s="291">
        <v>0.06</v>
      </c>
      <c r="C766" s="291">
        <v>0.06</v>
      </c>
      <c r="D766" s="294"/>
      <c r="E766" s="44"/>
      <c r="F766" s="44"/>
      <c r="G766" s="44"/>
      <c r="H766" s="43"/>
      <c r="I766" s="238"/>
      <c r="J766" s="61"/>
      <c r="K766" s="322" t="s">
        <v>188</v>
      </c>
      <c r="L766" s="15">
        <v>1.5</v>
      </c>
    </row>
    <row r="767" spans="1:12" ht="30" customHeight="1">
      <c r="A767" s="53" t="s">
        <v>257</v>
      </c>
      <c r="B767" s="36">
        <v>3</v>
      </c>
      <c r="C767" s="36">
        <v>3</v>
      </c>
      <c r="D767" s="294"/>
      <c r="E767" s="95"/>
      <c r="F767" s="95"/>
      <c r="G767" s="44"/>
      <c r="H767" s="43"/>
      <c r="I767" s="232"/>
      <c r="K767" s="322" t="s">
        <v>187</v>
      </c>
      <c r="L767" s="15">
        <v>1</v>
      </c>
    </row>
    <row r="768" spans="1:9" ht="30" customHeight="1">
      <c r="A768" s="53" t="s">
        <v>505</v>
      </c>
      <c r="B768" s="37">
        <f>C768*2.38</f>
        <v>7.14</v>
      </c>
      <c r="C768" s="36">
        <v>3</v>
      </c>
      <c r="D768" s="294"/>
      <c r="E768" s="95"/>
      <c r="F768" s="95"/>
      <c r="G768" s="44"/>
      <c r="H768" s="43"/>
      <c r="I768" s="232"/>
    </row>
    <row r="769" spans="1:9" ht="30" customHeight="1">
      <c r="A769" s="53" t="s">
        <v>11</v>
      </c>
      <c r="B769" s="36">
        <v>3</v>
      </c>
      <c r="C769" s="36">
        <v>3</v>
      </c>
      <c r="D769" s="294"/>
      <c r="E769" s="95"/>
      <c r="F769" s="95"/>
      <c r="G769" s="44"/>
      <c r="H769" s="43"/>
      <c r="I769" s="232"/>
    </row>
    <row r="770" spans="1:11" s="9" customFormat="1" ht="30" customHeight="1">
      <c r="A770" s="51" t="s">
        <v>272</v>
      </c>
      <c r="B770" s="35">
        <f>C770*1.35</f>
        <v>2.7</v>
      </c>
      <c r="C770" s="35">
        <v>2</v>
      </c>
      <c r="D770" s="294"/>
      <c r="E770" s="95"/>
      <c r="F770" s="95"/>
      <c r="G770" s="95"/>
      <c r="H770" s="87"/>
      <c r="I770" s="292"/>
      <c r="J770" s="61"/>
      <c r="K770" s="334"/>
    </row>
    <row r="771" spans="1:12" s="9" customFormat="1" ht="30" customHeight="1">
      <c r="A771" s="482" t="s">
        <v>282</v>
      </c>
      <c r="B771" s="478"/>
      <c r="C771" s="478"/>
      <c r="D771" s="23" t="s">
        <v>147</v>
      </c>
      <c r="E771" s="44">
        <v>5.2</v>
      </c>
      <c r="F771" s="44">
        <v>4.1</v>
      </c>
      <c r="G771" s="44">
        <v>19.8</v>
      </c>
      <c r="H771" s="43">
        <f>E771*4+F771*9+G771*4</f>
        <v>136.9</v>
      </c>
      <c r="I771" s="276" t="s">
        <v>283</v>
      </c>
      <c r="J771" s="61"/>
      <c r="K771" s="334"/>
      <c r="L771" s="61"/>
    </row>
    <row r="772" spans="1:12" s="9" customFormat="1" ht="30" customHeight="1">
      <c r="A772" s="51" t="s">
        <v>12</v>
      </c>
      <c r="B772" s="35">
        <f>C772*1.33</f>
        <v>133</v>
      </c>
      <c r="C772" s="36">
        <v>100</v>
      </c>
      <c r="D772" s="23"/>
      <c r="E772" s="44"/>
      <c r="F772" s="44"/>
      <c r="G772" s="44"/>
      <c r="H772" s="294"/>
      <c r="I772" s="273"/>
      <c r="J772" s="61"/>
      <c r="K772" s="334"/>
      <c r="L772" s="61"/>
    </row>
    <row r="773" spans="1:12" s="9" customFormat="1" ht="30" customHeight="1">
      <c r="A773" s="51" t="s">
        <v>13</v>
      </c>
      <c r="B773" s="35">
        <f>C773*1.43</f>
        <v>143</v>
      </c>
      <c r="C773" s="36">
        <v>100</v>
      </c>
      <c r="D773" s="20"/>
      <c r="E773" s="44"/>
      <c r="F773" s="44"/>
      <c r="G773" s="44"/>
      <c r="H773" s="294"/>
      <c r="I773" s="278"/>
      <c r="J773" s="61"/>
      <c r="K773" s="334"/>
      <c r="L773" s="61"/>
    </row>
    <row r="774" spans="1:12" s="9" customFormat="1" ht="30" customHeight="1">
      <c r="A774" s="53" t="s">
        <v>14</v>
      </c>
      <c r="B774" s="35">
        <f>C774*1.54</f>
        <v>154</v>
      </c>
      <c r="C774" s="36">
        <v>100</v>
      </c>
      <c r="D774" s="20"/>
      <c r="E774" s="44"/>
      <c r="F774" s="44"/>
      <c r="G774" s="44"/>
      <c r="H774" s="294"/>
      <c r="I774" s="273"/>
      <c r="K774" s="335"/>
      <c r="L774" s="61"/>
    </row>
    <row r="775" spans="1:11" s="9" customFormat="1" ht="30" customHeight="1">
      <c r="A775" s="53" t="s">
        <v>15</v>
      </c>
      <c r="B775" s="35">
        <f>C775*1.67</f>
        <v>167</v>
      </c>
      <c r="C775" s="36">
        <v>100</v>
      </c>
      <c r="D775" s="20"/>
      <c r="E775" s="44"/>
      <c r="F775" s="44"/>
      <c r="G775" s="44"/>
      <c r="H775" s="294"/>
      <c r="I775" s="273"/>
      <c r="K775" s="335"/>
    </row>
    <row r="776" spans="1:11" s="9" customFormat="1" ht="30" customHeight="1">
      <c r="A776" s="51" t="s">
        <v>61</v>
      </c>
      <c r="B776" s="40">
        <f>C776*1.25</f>
        <v>12.5</v>
      </c>
      <c r="C776" s="35">
        <v>10</v>
      </c>
      <c r="D776" s="23"/>
      <c r="E776" s="95"/>
      <c r="F776" s="95"/>
      <c r="G776" s="95"/>
      <c r="H776" s="87"/>
      <c r="I776" s="274"/>
      <c r="K776" s="335"/>
    </row>
    <row r="777" spans="1:11" s="9" customFormat="1" ht="30" customHeight="1">
      <c r="A777" s="51" t="s">
        <v>16</v>
      </c>
      <c r="B777" s="40">
        <f>C777*1.33</f>
        <v>13.3</v>
      </c>
      <c r="C777" s="35">
        <v>10</v>
      </c>
      <c r="D777" s="23"/>
      <c r="E777" s="95"/>
      <c r="F777" s="95"/>
      <c r="G777" s="95"/>
      <c r="H777" s="87"/>
      <c r="I777" s="274"/>
      <c r="K777" s="335"/>
    </row>
    <row r="778" spans="1:11" s="9" customFormat="1" ht="30" customHeight="1">
      <c r="A778" s="53" t="s">
        <v>18</v>
      </c>
      <c r="B778" s="37">
        <f>C778*1.19</f>
        <v>11.899999999999999</v>
      </c>
      <c r="C778" s="36">
        <v>10</v>
      </c>
      <c r="D778" s="20"/>
      <c r="E778" s="44"/>
      <c r="F778" s="44"/>
      <c r="G778" s="44"/>
      <c r="H778" s="294"/>
      <c r="I778" s="274"/>
      <c r="K778" s="335"/>
    </row>
    <row r="779" spans="1:11" s="9" customFormat="1" ht="30" customHeight="1">
      <c r="A779" s="53" t="s">
        <v>19</v>
      </c>
      <c r="B779" s="36">
        <v>5</v>
      </c>
      <c r="C779" s="36">
        <v>5</v>
      </c>
      <c r="D779" s="20"/>
      <c r="E779" s="44"/>
      <c r="F779" s="44"/>
      <c r="G779" s="44"/>
      <c r="H779" s="294"/>
      <c r="I779" s="274"/>
      <c r="K779" s="335"/>
    </row>
    <row r="780" spans="1:11" s="9" customFormat="1" ht="30" customHeight="1">
      <c r="A780" s="124" t="s">
        <v>146</v>
      </c>
      <c r="B780" s="23"/>
      <c r="C780" s="23">
        <v>35</v>
      </c>
      <c r="D780" s="20"/>
      <c r="E780" s="44"/>
      <c r="F780" s="44"/>
      <c r="G780" s="44"/>
      <c r="H780" s="294"/>
      <c r="I780" s="275"/>
      <c r="K780" s="335"/>
    </row>
    <row r="781" spans="1:11" s="9" customFormat="1" ht="30" customHeight="1">
      <c r="A781" s="55" t="s">
        <v>85</v>
      </c>
      <c r="B781" s="27">
        <f>C781*1.35</f>
        <v>45.900000000000006</v>
      </c>
      <c r="C781" s="37">
        <v>34</v>
      </c>
      <c r="D781" s="20"/>
      <c r="E781" s="44"/>
      <c r="F781" s="44"/>
      <c r="G781" s="44"/>
      <c r="H781" s="294"/>
      <c r="I781" s="275"/>
      <c r="K781" s="335"/>
    </row>
    <row r="782" spans="1:11" s="9" customFormat="1" ht="30" customHeight="1">
      <c r="A782" s="115" t="s">
        <v>357</v>
      </c>
      <c r="B782" s="117">
        <f>C782*1.5</f>
        <v>51</v>
      </c>
      <c r="C782" s="37">
        <v>34</v>
      </c>
      <c r="D782" s="20"/>
      <c r="E782" s="95"/>
      <c r="F782" s="95"/>
      <c r="G782" s="95"/>
      <c r="H782" s="296"/>
      <c r="I782" s="275"/>
      <c r="K782" s="335"/>
    </row>
    <row r="783" spans="1:13" s="9" customFormat="1" ht="30" customHeight="1">
      <c r="A783" s="115" t="s">
        <v>151</v>
      </c>
      <c r="B783" s="117">
        <f>C783*1.82</f>
        <v>61.88</v>
      </c>
      <c r="C783" s="37">
        <v>34</v>
      </c>
      <c r="D783" s="20"/>
      <c r="E783" s="95"/>
      <c r="F783" s="95"/>
      <c r="G783" s="95"/>
      <c r="H783" s="296"/>
      <c r="I783" s="275"/>
      <c r="K783" s="335"/>
      <c r="L783" s="61"/>
      <c r="M783" s="114"/>
    </row>
    <row r="784" spans="1:13" s="9" customFormat="1" ht="30" customHeight="1">
      <c r="A784" s="56" t="s">
        <v>18</v>
      </c>
      <c r="B784" s="24">
        <f>C784*1.19</f>
        <v>8.33</v>
      </c>
      <c r="C784" s="37">
        <v>7</v>
      </c>
      <c r="D784" s="23"/>
      <c r="E784" s="41"/>
      <c r="F784" s="41"/>
      <c r="G784" s="41"/>
      <c r="H784" s="36"/>
      <c r="I784" s="275"/>
      <c r="K784" s="335"/>
      <c r="M784" s="114"/>
    </row>
    <row r="785" spans="1:13" s="9" customFormat="1" ht="30" customHeight="1">
      <c r="A785" s="56" t="s">
        <v>86</v>
      </c>
      <c r="B785" s="385">
        <v>1.8</v>
      </c>
      <c r="C785" s="41">
        <v>1.8</v>
      </c>
      <c r="D785" s="23"/>
      <c r="E785" s="41"/>
      <c r="F785" s="41"/>
      <c r="G785" s="41"/>
      <c r="H785" s="36"/>
      <c r="I785" s="275"/>
      <c r="K785" s="335"/>
      <c r="M785" s="114"/>
    </row>
    <row r="786" spans="1:13" s="9" customFormat="1" ht="30" customHeight="1">
      <c r="A786" s="56" t="s">
        <v>63</v>
      </c>
      <c r="B786" s="385">
        <v>2.8</v>
      </c>
      <c r="C786" s="41">
        <v>2.8</v>
      </c>
      <c r="D786" s="23"/>
      <c r="E786" s="41"/>
      <c r="F786" s="41"/>
      <c r="G786" s="41"/>
      <c r="H786" s="36"/>
      <c r="I786" s="275"/>
      <c r="K786" s="335"/>
      <c r="M786" s="114"/>
    </row>
    <row r="787" spans="1:11" s="9" customFormat="1" ht="30" customHeight="1">
      <c r="A787" s="53" t="s">
        <v>73</v>
      </c>
      <c r="B787" s="40">
        <v>0.2</v>
      </c>
      <c r="C787" s="40">
        <v>0.2</v>
      </c>
      <c r="D787" s="31"/>
      <c r="E787" s="85"/>
      <c r="F787" s="85"/>
      <c r="G787" s="85"/>
      <c r="H787" s="258"/>
      <c r="I787" s="274"/>
      <c r="K787" s="335"/>
    </row>
    <row r="788" spans="1:11" s="9" customFormat="1" ht="30" customHeight="1">
      <c r="A788" s="477" t="s">
        <v>459</v>
      </c>
      <c r="B788" s="477"/>
      <c r="C788" s="477"/>
      <c r="D788" s="23">
        <v>100</v>
      </c>
      <c r="E788" s="110">
        <v>13.9</v>
      </c>
      <c r="F788" s="110">
        <v>11.4</v>
      </c>
      <c r="G788" s="110">
        <v>3.8</v>
      </c>
      <c r="H788" s="378">
        <f>G788*4+F788*9+E788*4</f>
        <v>173.4</v>
      </c>
      <c r="I788" s="240" t="s">
        <v>460</v>
      </c>
      <c r="K788" s="335"/>
    </row>
    <row r="789" spans="1:9" ht="30" customHeight="1">
      <c r="A789" s="444" t="s">
        <v>461</v>
      </c>
      <c r="B789" s="27">
        <f>C789*1.054</f>
        <v>72.726</v>
      </c>
      <c r="C789" s="296">
        <v>69</v>
      </c>
      <c r="D789" s="36"/>
      <c r="E789" s="41"/>
      <c r="F789" s="41"/>
      <c r="G789" s="41"/>
      <c r="H789" s="41"/>
      <c r="I789" s="430"/>
    </row>
    <row r="790" spans="1:9" ht="30" customHeight="1">
      <c r="A790" s="53" t="s">
        <v>11</v>
      </c>
      <c r="B790" s="36">
        <v>4</v>
      </c>
      <c r="C790" s="36">
        <v>4</v>
      </c>
      <c r="D790" s="36"/>
      <c r="E790" s="445"/>
      <c r="F790" s="445"/>
      <c r="G790" s="445"/>
      <c r="H790" s="43"/>
      <c r="I790" s="430"/>
    </row>
    <row r="791" spans="1:12" s="9" customFormat="1" ht="30" customHeight="1">
      <c r="A791" s="53" t="s">
        <v>462</v>
      </c>
      <c r="B791" s="36"/>
      <c r="C791" s="36">
        <v>50</v>
      </c>
      <c r="D791" s="36"/>
      <c r="E791" s="41"/>
      <c r="F791" s="41"/>
      <c r="G791" s="41"/>
      <c r="H791" s="37"/>
      <c r="I791" s="430"/>
      <c r="K791" s="335"/>
      <c r="L791" s="61"/>
    </row>
    <row r="792" spans="1:9" ht="30" customHeight="1">
      <c r="A792" s="56" t="s">
        <v>18</v>
      </c>
      <c r="B792" s="41">
        <f>C792*1.19</f>
        <v>9.52</v>
      </c>
      <c r="C792" s="36">
        <v>8</v>
      </c>
      <c r="D792" s="23"/>
      <c r="E792" s="110"/>
      <c r="F792" s="41"/>
      <c r="G792" s="41"/>
      <c r="H792" s="41"/>
      <c r="I792" s="446"/>
    </row>
    <row r="793" spans="1:11" s="9" customFormat="1" ht="30" customHeight="1">
      <c r="A793" s="56" t="s">
        <v>463</v>
      </c>
      <c r="B793" s="37">
        <v>5</v>
      </c>
      <c r="C793" s="37">
        <v>5</v>
      </c>
      <c r="D793" s="23"/>
      <c r="E793" s="41"/>
      <c r="F793" s="41"/>
      <c r="G793" s="41"/>
      <c r="H793" s="36"/>
      <c r="I793" s="447"/>
      <c r="K793" s="335"/>
    </row>
    <row r="794" spans="1:11" s="9" customFormat="1" ht="30" customHeight="1">
      <c r="A794" s="51" t="s">
        <v>21</v>
      </c>
      <c r="B794" s="35">
        <v>2</v>
      </c>
      <c r="C794" s="35">
        <v>2</v>
      </c>
      <c r="D794" s="247"/>
      <c r="E794" s="107"/>
      <c r="F794" s="94"/>
      <c r="G794" s="94"/>
      <c r="H794" s="437"/>
      <c r="I794" s="448"/>
      <c r="K794" s="335"/>
    </row>
    <row r="795" spans="1:9" ht="30" customHeight="1">
      <c r="A795" s="53" t="s">
        <v>273</v>
      </c>
      <c r="B795" s="41">
        <f>C795*1.28</f>
        <v>1.1520000000000001</v>
      </c>
      <c r="C795" s="36">
        <v>0.9</v>
      </c>
      <c r="D795" s="38"/>
      <c r="E795" s="41"/>
      <c r="F795" s="110"/>
      <c r="G795" s="110"/>
      <c r="H795" s="23"/>
      <c r="I795" s="449"/>
    </row>
    <row r="796" spans="1:9" ht="30" customHeight="1">
      <c r="A796" s="53" t="s">
        <v>61</v>
      </c>
      <c r="B796" s="37">
        <f>C796*1.25</f>
        <v>10</v>
      </c>
      <c r="C796" s="37">
        <v>8</v>
      </c>
      <c r="D796" s="36"/>
      <c r="E796" s="36"/>
      <c r="F796" s="53"/>
      <c r="G796" s="36"/>
      <c r="H796" s="41"/>
      <c r="I796" s="450"/>
    </row>
    <row r="797" spans="1:9" ht="30" customHeight="1">
      <c r="A797" s="56" t="s">
        <v>16</v>
      </c>
      <c r="B797" s="37">
        <f>C797*1.33</f>
        <v>10.64</v>
      </c>
      <c r="C797" s="37">
        <v>8</v>
      </c>
      <c r="D797" s="296"/>
      <c r="E797" s="36"/>
      <c r="F797" s="451"/>
      <c r="G797" s="296"/>
      <c r="H797" s="95"/>
      <c r="I797" s="452"/>
    </row>
    <row r="798" spans="1:11" s="9" customFormat="1" ht="30" customHeight="1">
      <c r="A798" s="52" t="s">
        <v>63</v>
      </c>
      <c r="B798" s="35">
        <v>50</v>
      </c>
      <c r="C798" s="35">
        <v>50</v>
      </c>
      <c r="D798" s="247"/>
      <c r="E798" s="107"/>
      <c r="F798" s="94"/>
      <c r="G798" s="94"/>
      <c r="H798" s="437"/>
      <c r="I798" s="448"/>
      <c r="K798" s="335"/>
    </row>
    <row r="799" spans="1:9" ht="30" customHeight="1">
      <c r="A799" s="481" t="s">
        <v>70</v>
      </c>
      <c r="B799" s="481"/>
      <c r="C799" s="481"/>
      <c r="D799" s="481"/>
      <c r="E799" s="481"/>
      <c r="F799" s="481"/>
      <c r="G799" s="481"/>
      <c r="H799" s="481"/>
      <c r="I799" s="481"/>
    </row>
    <row r="800" spans="1:9" ht="30" customHeight="1">
      <c r="A800" s="477" t="s">
        <v>224</v>
      </c>
      <c r="B800" s="477"/>
      <c r="C800" s="477"/>
      <c r="D800" s="23">
        <v>100</v>
      </c>
      <c r="E800" s="44">
        <v>10.4</v>
      </c>
      <c r="F800" s="44">
        <v>9.2</v>
      </c>
      <c r="G800" s="44">
        <v>4</v>
      </c>
      <c r="H800" s="43">
        <f>E800*4+F800*9+G800*4</f>
        <v>140.4</v>
      </c>
      <c r="I800" s="276" t="s">
        <v>225</v>
      </c>
    </row>
    <row r="801" spans="1:11" s="9" customFormat="1" ht="30" customHeight="1">
      <c r="A801" s="86" t="s">
        <v>88</v>
      </c>
      <c r="B801" s="48">
        <f>C801*1.36</f>
        <v>107.44000000000001</v>
      </c>
      <c r="C801" s="37">
        <v>79</v>
      </c>
      <c r="D801" s="36"/>
      <c r="E801" s="95"/>
      <c r="F801" s="95"/>
      <c r="G801" s="95"/>
      <c r="H801" s="296"/>
      <c r="I801" s="274"/>
      <c r="K801" s="335"/>
    </row>
    <row r="802" spans="1:11" s="9" customFormat="1" ht="30" customHeight="1">
      <c r="A802" s="86" t="s">
        <v>89</v>
      </c>
      <c r="B802" s="48">
        <f>C802*1.18</f>
        <v>93.22</v>
      </c>
      <c r="C802" s="35">
        <f>C801</f>
        <v>79</v>
      </c>
      <c r="D802" s="237"/>
      <c r="E802" s="85"/>
      <c r="F802" s="85"/>
      <c r="G802" s="85"/>
      <c r="H802" s="258"/>
      <c r="I802" s="274"/>
      <c r="K802" s="335"/>
    </row>
    <row r="803" spans="1:11" s="9" customFormat="1" ht="30" customHeight="1">
      <c r="A803" s="53" t="s">
        <v>11</v>
      </c>
      <c r="B803" s="37">
        <v>5</v>
      </c>
      <c r="C803" s="37">
        <v>4.5</v>
      </c>
      <c r="D803" s="36"/>
      <c r="E803" s="95"/>
      <c r="F803" s="95"/>
      <c r="G803" s="95"/>
      <c r="H803" s="296"/>
      <c r="I803" s="274"/>
      <c r="J803" s="61"/>
      <c r="K803" s="334"/>
    </row>
    <row r="804" spans="1:11" s="9" customFormat="1" ht="30" customHeight="1">
      <c r="A804" s="53" t="s">
        <v>18</v>
      </c>
      <c r="B804" s="37">
        <f>C804*1.19</f>
        <v>11.899999999999999</v>
      </c>
      <c r="C804" s="36">
        <v>10</v>
      </c>
      <c r="D804" s="36"/>
      <c r="E804" s="95"/>
      <c r="F804" s="95"/>
      <c r="G804" s="95"/>
      <c r="H804" s="296"/>
      <c r="I804" s="274"/>
      <c r="J804" s="61"/>
      <c r="K804" s="334"/>
    </row>
    <row r="805" spans="1:11" s="9" customFormat="1" ht="30" customHeight="1">
      <c r="A805" s="57" t="s">
        <v>54</v>
      </c>
      <c r="B805" s="36">
        <v>4</v>
      </c>
      <c r="C805" s="36">
        <v>4</v>
      </c>
      <c r="D805" s="36"/>
      <c r="E805" s="95"/>
      <c r="F805" s="95"/>
      <c r="G805" s="95"/>
      <c r="H805" s="296"/>
      <c r="I805" s="274"/>
      <c r="J805" s="61"/>
      <c r="K805" s="334"/>
    </row>
    <row r="806" spans="1:11" s="9" customFormat="1" ht="30" customHeight="1">
      <c r="A806" s="53" t="s">
        <v>21</v>
      </c>
      <c r="B806" s="36">
        <v>2.5</v>
      </c>
      <c r="C806" s="36">
        <v>2.5</v>
      </c>
      <c r="D806" s="36"/>
      <c r="E806" s="95"/>
      <c r="F806" s="44"/>
      <c r="G806" s="44"/>
      <c r="H806" s="294"/>
      <c r="I806" s="274"/>
      <c r="J806" s="61"/>
      <c r="K806" s="334"/>
    </row>
    <row r="807" spans="1:11" s="9" customFormat="1" ht="30" customHeight="1">
      <c r="A807" s="477" t="s">
        <v>307</v>
      </c>
      <c r="B807" s="478"/>
      <c r="C807" s="478"/>
      <c r="D807" s="21">
        <v>150</v>
      </c>
      <c r="E807" s="44">
        <v>3.7</v>
      </c>
      <c r="F807" s="44">
        <v>3.6</v>
      </c>
      <c r="G807" s="44">
        <v>34.1</v>
      </c>
      <c r="H807" s="43">
        <f>G807*4+F807*9+E807*4</f>
        <v>183.60000000000002</v>
      </c>
      <c r="I807" s="276" t="s">
        <v>308</v>
      </c>
      <c r="J807" s="61"/>
      <c r="K807" s="334"/>
    </row>
    <row r="808" spans="1:11" s="9" customFormat="1" ht="30" customHeight="1">
      <c r="A808" s="53" t="s">
        <v>23</v>
      </c>
      <c r="B808" s="5">
        <v>54</v>
      </c>
      <c r="C808" s="5">
        <v>54</v>
      </c>
      <c r="D808" s="36"/>
      <c r="E808" s="95"/>
      <c r="F808" s="95"/>
      <c r="G808" s="95"/>
      <c r="H808" s="296"/>
      <c r="I808" s="274"/>
      <c r="J808" s="61"/>
      <c r="K808" s="334"/>
    </row>
    <row r="809" spans="1:11" s="9" customFormat="1" ht="30" customHeight="1">
      <c r="A809" s="53" t="s">
        <v>63</v>
      </c>
      <c r="B809" s="5">
        <f>B808*6</f>
        <v>324</v>
      </c>
      <c r="C809" s="5">
        <f>C808*6</f>
        <v>324</v>
      </c>
      <c r="D809" s="36"/>
      <c r="E809" s="95"/>
      <c r="F809" s="95"/>
      <c r="G809" s="95"/>
      <c r="H809" s="296"/>
      <c r="I809" s="274"/>
      <c r="J809" s="61"/>
      <c r="K809" s="334"/>
    </row>
    <row r="810" spans="1:11" s="9" customFormat="1" ht="30" customHeight="1">
      <c r="A810" s="53" t="s">
        <v>19</v>
      </c>
      <c r="B810" s="5">
        <v>4</v>
      </c>
      <c r="C810" s="5">
        <v>4</v>
      </c>
      <c r="D810" s="36"/>
      <c r="E810" s="95"/>
      <c r="F810" s="95"/>
      <c r="G810" s="95"/>
      <c r="H810" s="296"/>
      <c r="I810" s="274"/>
      <c r="J810" s="61"/>
      <c r="K810" s="334"/>
    </row>
    <row r="811" spans="1:13" s="9" customFormat="1" ht="30" customHeight="1">
      <c r="A811" s="485" t="s">
        <v>288</v>
      </c>
      <c r="B811" s="478"/>
      <c r="C811" s="478"/>
      <c r="D811" s="148">
        <v>200</v>
      </c>
      <c r="E811" s="105">
        <v>0.1</v>
      </c>
      <c r="F811" s="105">
        <v>0</v>
      </c>
      <c r="G811" s="105">
        <v>19</v>
      </c>
      <c r="H811" s="257">
        <f>G811*4+F811*9+E811*4</f>
        <v>76.4</v>
      </c>
      <c r="I811" s="240" t="s">
        <v>289</v>
      </c>
      <c r="K811" s="335"/>
      <c r="M811" s="166"/>
    </row>
    <row r="812" spans="1:11" s="9" customFormat="1" ht="30" customHeight="1">
      <c r="A812" s="76" t="s">
        <v>373</v>
      </c>
      <c r="B812" s="50">
        <v>26.4</v>
      </c>
      <c r="C812" s="50">
        <v>25</v>
      </c>
      <c r="D812" s="239"/>
      <c r="E812" s="147"/>
      <c r="F812" s="147"/>
      <c r="G812" s="147"/>
      <c r="H812" s="265"/>
      <c r="I812" s="274"/>
      <c r="K812" s="335"/>
    </row>
    <row r="813" spans="1:11" s="9" customFormat="1" ht="30" customHeight="1">
      <c r="A813" s="53" t="s">
        <v>4</v>
      </c>
      <c r="B813" s="50">
        <v>15</v>
      </c>
      <c r="C813" s="50">
        <v>15</v>
      </c>
      <c r="D813" s="239"/>
      <c r="E813" s="147"/>
      <c r="F813" s="147"/>
      <c r="G813" s="147"/>
      <c r="H813" s="265"/>
      <c r="I813" s="274"/>
      <c r="K813" s="335"/>
    </row>
    <row r="814" spans="1:11" s="9" customFormat="1" ht="30" customHeight="1">
      <c r="A814" s="149" t="s">
        <v>20</v>
      </c>
      <c r="B814" s="36">
        <v>50</v>
      </c>
      <c r="C814" s="36">
        <v>50</v>
      </c>
      <c r="D814" s="23">
        <v>50</v>
      </c>
      <c r="E814" s="110">
        <v>2.5</v>
      </c>
      <c r="F814" s="110">
        <v>0.7000000000000001</v>
      </c>
      <c r="G814" s="110">
        <v>20.25</v>
      </c>
      <c r="H814" s="110">
        <v>97.3</v>
      </c>
      <c r="I814" s="275"/>
      <c r="K814" s="335"/>
    </row>
    <row r="815" spans="1:11" s="9" customFormat="1" ht="30" customHeight="1">
      <c r="A815" s="477" t="s">
        <v>75</v>
      </c>
      <c r="B815" s="478"/>
      <c r="C815" s="478"/>
      <c r="D815" s="77">
        <v>50</v>
      </c>
      <c r="E815" s="95"/>
      <c r="F815" s="95"/>
      <c r="G815" s="95"/>
      <c r="H815" s="95"/>
      <c r="I815" s="274"/>
      <c r="K815" s="335"/>
    </row>
    <row r="816" spans="1:11" s="9" customFormat="1" ht="30" customHeight="1">
      <c r="A816" s="212" t="s">
        <v>26</v>
      </c>
      <c r="B816" s="36">
        <v>40</v>
      </c>
      <c r="C816" s="36">
        <v>40</v>
      </c>
      <c r="D816" s="23">
        <v>40</v>
      </c>
      <c r="E816" s="110">
        <v>1.4</v>
      </c>
      <c r="F816" s="110">
        <v>0.4</v>
      </c>
      <c r="G816" s="110">
        <v>18.8</v>
      </c>
      <c r="H816" s="256">
        <v>82</v>
      </c>
      <c r="I816" s="275"/>
      <c r="K816" s="335"/>
    </row>
    <row r="817" spans="1:11" s="9" customFormat="1" ht="30" customHeight="1">
      <c r="A817" s="475" t="s">
        <v>24</v>
      </c>
      <c r="B817" s="475"/>
      <c r="C817" s="475"/>
      <c r="D817" s="475"/>
      <c r="E817" s="99">
        <f>E759+E732</f>
        <v>47.599999999999994</v>
      </c>
      <c r="F817" s="99">
        <f>F759+F732</f>
        <v>42.8</v>
      </c>
      <c r="G817" s="99">
        <f>G759+G732</f>
        <v>186.65</v>
      </c>
      <c r="H817" s="96">
        <f>H759+H732</f>
        <v>1323.5</v>
      </c>
      <c r="I817" s="275"/>
      <c r="K817" s="335"/>
    </row>
    <row r="818" spans="1:9" ht="30" customHeight="1">
      <c r="A818" s="490" t="s">
        <v>390</v>
      </c>
      <c r="B818" s="490"/>
      <c r="C818" s="490"/>
      <c r="D818" s="490"/>
      <c r="E818" s="490"/>
      <c r="F818" s="490"/>
      <c r="G818" s="490"/>
      <c r="H818" s="490"/>
      <c r="I818" s="490"/>
    </row>
    <row r="819" spans="1:11" s="9" customFormat="1" ht="30" customHeight="1">
      <c r="A819" s="487" t="s">
        <v>0</v>
      </c>
      <c r="B819" s="476" t="s">
        <v>6</v>
      </c>
      <c r="C819" s="476" t="s">
        <v>7</v>
      </c>
      <c r="D819" s="487" t="s">
        <v>5</v>
      </c>
      <c r="E819" s="487"/>
      <c r="F819" s="487"/>
      <c r="G819" s="487"/>
      <c r="H819" s="487"/>
      <c r="I819" s="487"/>
      <c r="K819" s="335"/>
    </row>
    <row r="820" spans="1:11" ht="30" customHeight="1">
      <c r="A820" s="487"/>
      <c r="B820" s="476"/>
      <c r="C820" s="476"/>
      <c r="D820" s="138" t="s">
        <v>8</v>
      </c>
      <c r="E820" s="301" t="s">
        <v>1</v>
      </c>
      <c r="F820" s="301" t="s">
        <v>2</v>
      </c>
      <c r="G820" s="301" t="s">
        <v>9</v>
      </c>
      <c r="H820" s="300" t="s">
        <v>3</v>
      </c>
      <c r="I820" s="302" t="s">
        <v>199</v>
      </c>
      <c r="K820" s="61"/>
    </row>
    <row r="821" spans="1:9" s="9" customFormat="1" ht="30" customHeight="1">
      <c r="A821" s="479" t="s">
        <v>109</v>
      </c>
      <c r="B821" s="479"/>
      <c r="C821" s="479"/>
      <c r="D821" s="263">
        <f>D836+D822+D838+D837</f>
        <v>550</v>
      </c>
      <c r="E821" s="99">
        <f>E836+E822+E838+E846+E848+E837</f>
        <v>18.433333333333334</v>
      </c>
      <c r="F821" s="99">
        <f>F836+F822+F838+F846+F848+F837</f>
        <v>18.099999999999998</v>
      </c>
      <c r="G821" s="99">
        <f>G836+G822+G838+G846+G848+G837</f>
        <v>86.5</v>
      </c>
      <c r="H821" s="99">
        <f>H836+H822+H838+H846+H848+H837</f>
        <v>582.5333333333332</v>
      </c>
      <c r="I821" s="274"/>
    </row>
    <row r="822" spans="1:9" s="9" customFormat="1" ht="30" customHeight="1">
      <c r="A822" s="500" t="s">
        <v>284</v>
      </c>
      <c r="B822" s="500"/>
      <c r="C822" s="500"/>
      <c r="D822" s="294">
        <v>230</v>
      </c>
      <c r="E822" s="44">
        <v>12.9</v>
      </c>
      <c r="F822" s="44">
        <v>14.5</v>
      </c>
      <c r="G822" s="44">
        <v>37.3</v>
      </c>
      <c r="H822" s="43">
        <f>E822*4+F822*9+G822*4</f>
        <v>331.29999999999995</v>
      </c>
      <c r="I822" s="235" t="s">
        <v>235</v>
      </c>
    </row>
    <row r="823" spans="1:9" s="9" customFormat="1" ht="30" customHeight="1">
      <c r="A823" s="86" t="s">
        <v>88</v>
      </c>
      <c r="B823" s="27">
        <f>C823*1.36</f>
        <v>107.44000000000001</v>
      </c>
      <c r="C823" s="28">
        <v>79</v>
      </c>
      <c r="D823" s="20"/>
      <c r="E823" s="44"/>
      <c r="F823" s="44"/>
      <c r="G823" s="44"/>
      <c r="H823" s="43"/>
      <c r="I823" s="235"/>
    </row>
    <row r="824" spans="1:9" s="9" customFormat="1" ht="30" customHeight="1">
      <c r="A824" s="86" t="s">
        <v>89</v>
      </c>
      <c r="B824" s="27">
        <f>C824*1.18</f>
        <v>93.22</v>
      </c>
      <c r="C824" s="5">
        <f>C823</f>
        <v>79</v>
      </c>
      <c r="D824" s="237"/>
      <c r="E824" s="85"/>
      <c r="F824" s="85"/>
      <c r="G824" s="85"/>
      <c r="H824" s="258"/>
      <c r="I824" s="403"/>
    </row>
    <row r="825" spans="1:9" s="9" customFormat="1" ht="30" customHeight="1">
      <c r="A825" s="56" t="s">
        <v>11</v>
      </c>
      <c r="B825" s="37">
        <v>10</v>
      </c>
      <c r="C825" s="37">
        <v>10</v>
      </c>
      <c r="D825" s="23"/>
      <c r="E825" s="44"/>
      <c r="F825" s="44"/>
      <c r="G825" s="44"/>
      <c r="H825" s="43"/>
      <c r="I825" s="235"/>
    </row>
    <row r="826" spans="1:9" s="9" customFormat="1" ht="30" customHeight="1">
      <c r="A826" s="398" t="s">
        <v>471</v>
      </c>
      <c r="B826" s="256"/>
      <c r="C826" s="256">
        <v>50</v>
      </c>
      <c r="D826" s="23"/>
      <c r="E826" s="44"/>
      <c r="F826" s="44"/>
      <c r="G826" s="44"/>
      <c r="H826" s="43"/>
      <c r="I826" s="235"/>
    </row>
    <row r="827" spans="1:11" s="9" customFormat="1" ht="30" customHeight="1">
      <c r="A827" s="56" t="s">
        <v>23</v>
      </c>
      <c r="B827" s="37">
        <v>61</v>
      </c>
      <c r="C827" s="37">
        <v>61</v>
      </c>
      <c r="D827" s="23"/>
      <c r="E827" s="44"/>
      <c r="F827" s="44"/>
      <c r="G827" s="44"/>
      <c r="H827" s="43"/>
      <c r="I827" s="235"/>
      <c r="K827" s="336" t="s">
        <v>48</v>
      </c>
    </row>
    <row r="828" spans="1:12" s="9" customFormat="1" ht="30" customHeight="1">
      <c r="A828" s="51" t="s">
        <v>61</v>
      </c>
      <c r="B828" s="35">
        <f>C828*1.25</f>
        <v>25</v>
      </c>
      <c r="C828" s="28">
        <v>20</v>
      </c>
      <c r="D828" s="23"/>
      <c r="E828" s="44"/>
      <c r="F828" s="44"/>
      <c r="G828" s="44"/>
      <c r="H828" s="43"/>
      <c r="I828" s="235"/>
      <c r="K828" s="322" t="s">
        <v>26</v>
      </c>
      <c r="L828" s="70">
        <f>D929+C848</f>
        <v>70</v>
      </c>
    </row>
    <row r="829" spans="1:12" s="9" customFormat="1" ht="30" customHeight="1">
      <c r="A829" s="51" t="s">
        <v>16</v>
      </c>
      <c r="B829" s="35">
        <f>C829*1.33</f>
        <v>26.6</v>
      </c>
      <c r="C829" s="28">
        <v>20</v>
      </c>
      <c r="D829" s="23"/>
      <c r="E829" s="44"/>
      <c r="F829" s="44"/>
      <c r="G829" s="44"/>
      <c r="H829" s="43"/>
      <c r="I829" s="235"/>
      <c r="K829" s="322" t="s">
        <v>131</v>
      </c>
      <c r="L829" s="169">
        <f>D926+C845+C889</f>
        <v>61</v>
      </c>
    </row>
    <row r="830" spans="1:12" ht="30" customHeight="1">
      <c r="A830" s="56" t="s">
        <v>18</v>
      </c>
      <c r="B830" s="37">
        <f>C830*1.19</f>
        <v>11.899999999999999</v>
      </c>
      <c r="C830" s="37">
        <v>10</v>
      </c>
      <c r="D830" s="23"/>
      <c r="E830" s="44"/>
      <c r="F830" s="44"/>
      <c r="G830" s="44"/>
      <c r="H830" s="43"/>
      <c r="I830" s="235"/>
      <c r="K830" s="322" t="s">
        <v>131</v>
      </c>
      <c r="L830" s="167">
        <f>D927+C846</f>
        <v>70</v>
      </c>
    </row>
    <row r="831" spans="1:12" s="9" customFormat="1" ht="30" customHeight="1">
      <c r="A831" s="57" t="s">
        <v>54</v>
      </c>
      <c r="B831" s="28">
        <v>10</v>
      </c>
      <c r="C831" s="28">
        <v>10</v>
      </c>
      <c r="D831" s="23"/>
      <c r="E831" s="44"/>
      <c r="F831" s="44"/>
      <c r="G831" s="44"/>
      <c r="H831" s="44"/>
      <c r="I831" s="235"/>
      <c r="K831" s="322" t="s">
        <v>161</v>
      </c>
      <c r="L831" s="168">
        <f>C922+C897</f>
        <v>8</v>
      </c>
    </row>
    <row r="832" spans="1:12" s="9" customFormat="1" ht="30" customHeight="1">
      <c r="A832" s="482" t="s">
        <v>264</v>
      </c>
      <c r="B832" s="482"/>
      <c r="C832" s="482"/>
      <c r="D832" s="23">
        <v>100</v>
      </c>
      <c r="E832" s="110">
        <v>0.7000000000000001</v>
      </c>
      <c r="F832" s="110">
        <v>0.1</v>
      </c>
      <c r="G832" s="110">
        <v>1.9</v>
      </c>
      <c r="H832" s="110">
        <v>11.299999999999999</v>
      </c>
      <c r="I832" s="261" t="s">
        <v>222</v>
      </c>
      <c r="K832" s="322" t="s">
        <v>67</v>
      </c>
      <c r="L832" s="189">
        <f>C827+C877</f>
        <v>76</v>
      </c>
    </row>
    <row r="833" spans="1:12" s="9" customFormat="1" ht="30" customHeight="1">
      <c r="A833" s="402" t="s">
        <v>173</v>
      </c>
      <c r="B833" s="87">
        <f>C833*1.05</f>
        <v>105</v>
      </c>
      <c r="C833" s="296">
        <v>100</v>
      </c>
      <c r="D833" s="36"/>
      <c r="E833" s="36"/>
      <c r="F833" s="36"/>
      <c r="G833" s="36"/>
      <c r="H833" s="41"/>
      <c r="I833" s="290"/>
      <c r="K833" s="322" t="s">
        <v>66</v>
      </c>
      <c r="L833" s="167"/>
    </row>
    <row r="834" spans="1:12" s="9" customFormat="1" ht="30" customHeight="1">
      <c r="A834" s="402" t="s">
        <v>116</v>
      </c>
      <c r="B834" s="87">
        <f>C834*1.02</f>
        <v>102</v>
      </c>
      <c r="C834" s="296">
        <v>100</v>
      </c>
      <c r="D834" s="375"/>
      <c r="E834" s="375"/>
      <c r="F834" s="375"/>
      <c r="G834" s="375"/>
      <c r="H834" s="350"/>
      <c r="I834" s="290"/>
      <c r="K834" s="322" t="s">
        <v>27</v>
      </c>
      <c r="L834" s="169">
        <f>C876+C856</f>
        <v>28</v>
      </c>
    </row>
    <row r="835" spans="1:12" s="9" customFormat="1" ht="30" customHeight="1">
      <c r="A835" s="481" t="s">
        <v>70</v>
      </c>
      <c r="B835" s="481"/>
      <c r="C835" s="481"/>
      <c r="D835" s="481"/>
      <c r="E835" s="481"/>
      <c r="F835" s="481"/>
      <c r="G835" s="481"/>
      <c r="H835" s="481"/>
      <c r="I835" s="481"/>
      <c r="K835" s="322" t="s">
        <v>210</v>
      </c>
      <c r="L835" s="169">
        <f>C833+C830+C852+C854+C860+C878+C885+C916+C918+C920+C921+C880+C890+C870+C828+C831+C872+C881</f>
        <v>462.2</v>
      </c>
    </row>
    <row r="836" spans="1:12" s="9" customFormat="1" ht="30" customHeight="1">
      <c r="A836" s="357" t="s">
        <v>477</v>
      </c>
      <c r="B836" s="87">
        <f>C836*1.82</f>
        <v>182</v>
      </c>
      <c r="C836" s="296">
        <v>100</v>
      </c>
      <c r="D836" s="23">
        <v>100</v>
      </c>
      <c r="E836" s="110">
        <v>0.8333333333333334</v>
      </c>
      <c r="F836" s="110">
        <v>0.1</v>
      </c>
      <c r="G836" s="110">
        <v>1.6</v>
      </c>
      <c r="H836" s="110">
        <v>10.633333333333335</v>
      </c>
      <c r="I836" s="241" t="s">
        <v>478</v>
      </c>
      <c r="K836" s="322" t="s">
        <v>28</v>
      </c>
      <c r="L836" s="70"/>
    </row>
    <row r="837" spans="1:12" s="9" customFormat="1" ht="30" customHeight="1">
      <c r="A837" s="477" t="s">
        <v>479</v>
      </c>
      <c r="B837" s="477"/>
      <c r="C837" s="477"/>
      <c r="D837" s="23">
        <v>20</v>
      </c>
      <c r="E837" s="110">
        <v>1.2</v>
      </c>
      <c r="F837" s="110">
        <v>1.4</v>
      </c>
      <c r="G837" s="110">
        <v>12.5</v>
      </c>
      <c r="H837" s="43">
        <f>G837*4+F837*9+E837*4</f>
        <v>67.4</v>
      </c>
      <c r="I837" s="241"/>
      <c r="K837" s="322" t="s">
        <v>177</v>
      </c>
      <c r="L837" s="9">
        <f>C925</f>
        <v>25</v>
      </c>
    </row>
    <row r="838" spans="1:12" s="9" customFormat="1" ht="30" customHeight="1">
      <c r="A838" s="477" t="s">
        <v>268</v>
      </c>
      <c r="B838" s="477"/>
      <c r="C838" s="477"/>
      <c r="D838" s="23">
        <v>200</v>
      </c>
      <c r="E838" s="44">
        <v>1.9</v>
      </c>
      <c r="F838" s="44">
        <v>1.7</v>
      </c>
      <c r="G838" s="44">
        <v>17</v>
      </c>
      <c r="H838" s="43">
        <f>G838*4+F838*9+E838*4</f>
        <v>90.89999999999999</v>
      </c>
      <c r="I838" s="240" t="s">
        <v>269</v>
      </c>
      <c r="K838" s="322" t="s">
        <v>211</v>
      </c>
      <c r="L838" s="17">
        <f>C926+C923+C840+C883</f>
        <v>28</v>
      </c>
    </row>
    <row r="839" spans="1:12" s="9" customFormat="1" ht="30" customHeight="1">
      <c r="A839" s="53" t="s">
        <v>111</v>
      </c>
      <c r="B839" s="36">
        <v>4</v>
      </c>
      <c r="C839" s="36">
        <v>4</v>
      </c>
      <c r="D839" s="36"/>
      <c r="E839" s="95"/>
      <c r="F839" s="95"/>
      <c r="G839" s="95"/>
      <c r="H839" s="296"/>
      <c r="I839" s="274"/>
      <c r="K839" s="322" t="s">
        <v>375</v>
      </c>
      <c r="L839" s="61"/>
    </row>
    <row r="840" spans="1:12" ht="30" customHeight="1">
      <c r="A840" s="53" t="s">
        <v>4</v>
      </c>
      <c r="B840" s="29">
        <v>15</v>
      </c>
      <c r="C840" s="29">
        <v>15</v>
      </c>
      <c r="D840" s="29"/>
      <c r="E840" s="95"/>
      <c r="F840" s="95"/>
      <c r="G840" s="95"/>
      <c r="H840" s="296"/>
      <c r="I840" s="274"/>
      <c r="K840" s="337" t="s">
        <v>29</v>
      </c>
      <c r="L840" s="61">
        <f>D837</f>
        <v>20</v>
      </c>
    </row>
    <row r="841" spans="1:12" ht="30" customHeight="1">
      <c r="A841" s="53" t="s">
        <v>52</v>
      </c>
      <c r="B841" s="36">
        <v>50</v>
      </c>
      <c r="C841" s="36">
        <v>50</v>
      </c>
      <c r="D841" s="36"/>
      <c r="E841" s="41"/>
      <c r="F841" s="41"/>
      <c r="G841" s="41"/>
      <c r="H841" s="36"/>
      <c r="K841" s="322" t="s">
        <v>71</v>
      </c>
      <c r="L841" s="359"/>
    </row>
    <row r="842" spans="1:11" s="9" customFormat="1" ht="30" customHeight="1">
      <c r="A842" s="58" t="s">
        <v>38</v>
      </c>
      <c r="B842" s="89">
        <f>B841*460/1000</f>
        <v>23</v>
      </c>
      <c r="C842" s="89">
        <f>C841*460/1000</f>
        <v>23</v>
      </c>
      <c r="D842" s="139"/>
      <c r="E842" s="44"/>
      <c r="F842" s="44"/>
      <c r="G842" s="44"/>
      <c r="H842" s="43"/>
      <c r="I842" s="275"/>
      <c r="K842" s="322" t="s">
        <v>189</v>
      </c>
    </row>
    <row r="843" spans="1:12" s="9" customFormat="1" ht="30" customHeight="1">
      <c r="A843" s="58" t="s">
        <v>39</v>
      </c>
      <c r="B843" s="89">
        <f>B841*120/1000</f>
        <v>6</v>
      </c>
      <c r="C843" s="89">
        <f>C841*120/1000</f>
        <v>6</v>
      </c>
      <c r="D843" s="139"/>
      <c r="E843" s="44"/>
      <c r="F843" s="44"/>
      <c r="G843" s="44"/>
      <c r="H843" s="43"/>
      <c r="I843" s="275"/>
      <c r="K843" s="322" t="s">
        <v>190</v>
      </c>
      <c r="L843" s="61">
        <f>C839</f>
        <v>4</v>
      </c>
    </row>
    <row r="844" spans="1:12" s="9" customFormat="1" ht="30" customHeight="1">
      <c r="A844" s="190" t="s">
        <v>155</v>
      </c>
      <c r="B844" s="191">
        <f>B841-B842</f>
        <v>27</v>
      </c>
      <c r="C844" s="191">
        <f>C841-C842</f>
        <v>27</v>
      </c>
      <c r="D844" s="192"/>
      <c r="E844" s="193"/>
      <c r="F844" s="193"/>
      <c r="G844" s="193"/>
      <c r="H844" s="264"/>
      <c r="I844" s="275"/>
      <c r="K844" s="338" t="s">
        <v>30</v>
      </c>
      <c r="L844" s="17"/>
    </row>
    <row r="845" spans="1:13" s="9" customFormat="1" ht="30" customHeight="1">
      <c r="A845" s="190" t="s">
        <v>156</v>
      </c>
      <c r="B845" s="191">
        <f>B841-B843</f>
        <v>44</v>
      </c>
      <c r="C845" s="191">
        <f>C841-C843</f>
        <v>44</v>
      </c>
      <c r="D845" s="192"/>
      <c r="E845" s="193"/>
      <c r="F845" s="193"/>
      <c r="G845" s="193"/>
      <c r="H845" s="264"/>
      <c r="I845" s="274"/>
      <c r="J845" s="61"/>
      <c r="K845" s="322" t="s">
        <v>179</v>
      </c>
      <c r="L845" s="62">
        <f>C823+C868</f>
        <v>95</v>
      </c>
      <c r="M845" s="61"/>
    </row>
    <row r="846" spans="1:12" s="9" customFormat="1" ht="30" customHeight="1">
      <c r="A846" s="354" t="s">
        <v>20</v>
      </c>
      <c r="B846" s="25">
        <v>20</v>
      </c>
      <c r="C846" s="25">
        <v>20</v>
      </c>
      <c r="D846" s="39">
        <v>20</v>
      </c>
      <c r="E846" s="366">
        <v>0.9</v>
      </c>
      <c r="F846" s="366">
        <v>0.2</v>
      </c>
      <c r="G846" s="366">
        <v>8.7</v>
      </c>
      <c r="H846" s="367">
        <v>41</v>
      </c>
      <c r="I846" s="368"/>
      <c r="K846" s="322" t="s">
        <v>181</v>
      </c>
      <c r="L846" s="17">
        <f>C887</f>
        <v>60</v>
      </c>
    </row>
    <row r="847" spans="1:12" s="9" customFormat="1" ht="30" customHeight="1">
      <c r="A847" s="477" t="s">
        <v>75</v>
      </c>
      <c r="B847" s="477"/>
      <c r="C847" s="477"/>
      <c r="D847" s="39">
        <v>20</v>
      </c>
      <c r="E847" s="41"/>
      <c r="F847" s="41"/>
      <c r="G847" s="41"/>
      <c r="H847" s="41"/>
      <c r="I847" s="275"/>
      <c r="K847" s="322" t="s">
        <v>180</v>
      </c>
      <c r="L847" s="17"/>
    </row>
    <row r="848" spans="1:12" s="9" customFormat="1" ht="30" customHeight="1">
      <c r="A848" s="212" t="s">
        <v>26</v>
      </c>
      <c r="B848" s="36">
        <v>20</v>
      </c>
      <c r="C848" s="36">
        <v>20</v>
      </c>
      <c r="D848" s="23">
        <v>20</v>
      </c>
      <c r="E848" s="110">
        <v>0.7</v>
      </c>
      <c r="F848" s="110">
        <v>0.2</v>
      </c>
      <c r="G848" s="110">
        <v>9.4</v>
      </c>
      <c r="H848" s="256">
        <v>41.3</v>
      </c>
      <c r="I848" s="275"/>
      <c r="K848" s="322" t="s">
        <v>182</v>
      </c>
      <c r="L848" s="17">
        <f>C851</f>
        <v>20</v>
      </c>
    </row>
    <row r="849" spans="1:12" s="9" customFormat="1" ht="30" customHeight="1">
      <c r="A849" s="479" t="s">
        <v>58</v>
      </c>
      <c r="B849" s="479"/>
      <c r="C849" s="479"/>
      <c r="D849" s="263">
        <f>D850+270+95+D915+D924</f>
        <v>775</v>
      </c>
      <c r="E849" s="99">
        <f>E850+E867+E886+E915+E924+E927+E929</f>
        <v>27.55</v>
      </c>
      <c r="F849" s="99">
        <f>F850+F867+F886+F915+F924+F927+F929</f>
        <v>27.549999999999997</v>
      </c>
      <c r="G849" s="99">
        <f>G850+G867+G886+G915+G924+G927+G929</f>
        <v>106.55</v>
      </c>
      <c r="H849" s="96">
        <f>H850+H867+H886+H915+H924+H927+H929</f>
        <v>784.3499999999999</v>
      </c>
      <c r="I849" s="274"/>
      <c r="K849" s="327" t="s">
        <v>82</v>
      </c>
      <c r="L849" s="17">
        <f>C841+C891</f>
        <v>68</v>
      </c>
    </row>
    <row r="850" spans="1:12" ht="30" customHeight="1">
      <c r="A850" s="484" t="s">
        <v>270</v>
      </c>
      <c r="B850" s="484"/>
      <c r="C850" s="484"/>
      <c r="D850" s="21">
        <v>60</v>
      </c>
      <c r="E850" s="44">
        <v>3.1</v>
      </c>
      <c r="F850" s="44">
        <v>5.8</v>
      </c>
      <c r="G850" s="44">
        <v>3.1</v>
      </c>
      <c r="H850" s="257">
        <f>G850*4+F850*9+E850*4</f>
        <v>77</v>
      </c>
      <c r="I850" s="240" t="s">
        <v>271</v>
      </c>
      <c r="K850" s="329" t="s">
        <v>183</v>
      </c>
      <c r="L850" s="62"/>
    </row>
    <row r="851" spans="1:11" ht="30" customHeight="1">
      <c r="A851" s="159" t="s">
        <v>132</v>
      </c>
      <c r="B851" s="171">
        <f>C851*1.05</f>
        <v>21</v>
      </c>
      <c r="C851" s="29">
        <v>20</v>
      </c>
      <c r="D851" s="93"/>
      <c r="E851" s="93"/>
      <c r="F851" s="93"/>
      <c r="G851" s="137"/>
      <c r="H851" s="137"/>
      <c r="I851" s="274"/>
      <c r="K851" s="322" t="s">
        <v>184</v>
      </c>
    </row>
    <row r="852" spans="1:12" ht="30" customHeight="1">
      <c r="A852" s="51" t="s">
        <v>17</v>
      </c>
      <c r="B852" s="40">
        <f>C852*1.25</f>
        <v>16.25</v>
      </c>
      <c r="C852" s="35">
        <v>13</v>
      </c>
      <c r="D852" s="5"/>
      <c r="E852" s="95"/>
      <c r="F852" s="95"/>
      <c r="G852" s="95"/>
      <c r="H852" s="296"/>
      <c r="I852" s="274"/>
      <c r="K852" s="322" t="s">
        <v>31</v>
      </c>
      <c r="L852" s="62">
        <f>C884</f>
        <v>5</v>
      </c>
    </row>
    <row r="853" spans="1:11" s="9" customFormat="1" ht="30" customHeight="1">
      <c r="A853" s="51" t="s">
        <v>16</v>
      </c>
      <c r="B853" s="40">
        <f>C853*1.33</f>
        <v>17.29</v>
      </c>
      <c r="C853" s="35">
        <v>13</v>
      </c>
      <c r="D853" s="5"/>
      <c r="E853" s="95"/>
      <c r="F853" s="95"/>
      <c r="G853" s="95"/>
      <c r="H853" s="296"/>
      <c r="I853" s="274"/>
      <c r="K853" s="322" t="s">
        <v>185</v>
      </c>
    </row>
    <row r="854" spans="1:12" s="9" customFormat="1" ht="30" customHeight="1">
      <c r="A854" s="51" t="s">
        <v>61</v>
      </c>
      <c r="B854" s="40">
        <f>C854*1.25</f>
        <v>12.5</v>
      </c>
      <c r="C854" s="5">
        <v>10</v>
      </c>
      <c r="D854" s="296"/>
      <c r="E854" s="95"/>
      <c r="F854" s="95"/>
      <c r="G854" s="95"/>
      <c r="H854" s="95"/>
      <c r="I854" s="274"/>
      <c r="J854" s="61"/>
      <c r="K854" s="322" t="s">
        <v>32</v>
      </c>
      <c r="L854" s="17">
        <f>C882+C899</f>
        <v>10</v>
      </c>
    </row>
    <row r="855" spans="1:12" s="9" customFormat="1" ht="30" customHeight="1">
      <c r="A855" s="51" t="s">
        <v>16</v>
      </c>
      <c r="B855" s="40">
        <f>C855*1.33</f>
        <v>13.3</v>
      </c>
      <c r="C855" s="5">
        <v>10</v>
      </c>
      <c r="D855" s="296"/>
      <c r="E855" s="95"/>
      <c r="F855" s="95"/>
      <c r="G855" s="95"/>
      <c r="H855" s="95"/>
      <c r="I855" s="274"/>
      <c r="K855" s="322" t="s">
        <v>33</v>
      </c>
      <c r="L855" s="17">
        <f>C861+C917+C898+C825</f>
        <v>19</v>
      </c>
    </row>
    <row r="856" spans="1:12" s="9" customFormat="1" ht="30" customHeight="1">
      <c r="A856" s="51" t="s">
        <v>12</v>
      </c>
      <c r="B856" s="35">
        <f>C856*1.33</f>
        <v>17.29</v>
      </c>
      <c r="C856" s="32">
        <v>13</v>
      </c>
      <c r="D856" s="21"/>
      <c r="E856" s="21"/>
      <c r="F856" s="21"/>
      <c r="G856" s="137"/>
      <c r="H856" s="137"/>
      <c r="I856" s="274"/>
      <c r="K856" s="322" t="s">
        <v>186</v>
      </c>
      <c r="L856" s="17">
        <f>C896</f>
        <v>6.5</v>
      </c>
    </row>
    <row r="857" spans="1:12" s="9" customFormat="1" ht="30" customHeight="1">
      <c r="A857" s="51" t="s">
        <v>13</v>
      </c>
      <c r="B857" s="35">
        <f>C857*1.43</f>
        <v>18.59</v>
      </c>
      <c r="C857" s="32">
        <v>13</v>
      </c>
      <c r="D857" s="21"/>
      <c r="E857" s="21"/>
      <c r="F857" s="21"/>
      <c r="G857" s="137"/>
      <c r="H857" s="137"/>
      <c r="I857" s="274"/>
      <c r="K857" s="322" t="s">
        <v>352</v>
      </c>
      <c r="L857" s="63"/>
    </row>
    <row r="858" spans="1:12" s="9" customFormat="1" ht="30" customHeight="1">
      <c r="A858" s="51" t="s">
        <v>14</v>
      </c>
      <c r="B858" s="35">
        <f>C858*1.54</f>
        <v>20.02</v>
      </c>
      <c r="C858" s="32">
        <v>13</v>
      </c>
      <c r="D858" s="21"/>
      <c r="E858" s="21"/>
      <c r="F858" s="21"/>
      <c r="G858" s="137"/>
      <c r="H858" s="137"/>
      <c r="I858" s="274"/>
      <c r="K858" s="322" t="s">
        <v>188</v>
      </c>
      <c r="L858" s="15">
        <v>1.5</v>
      </c>
    </row>
    <row r="859" spans="1:12" s="9" customFormat="1" ht="30" customHeight="1">
      <c r="A859" s="53" t="s">
        <v>15</v>
      </c>
      <c r="B859" s="35">
        <f>C859*1.67</f>
        <v>21.71</v>
      </c>
      <c r="C859" s="32">
        <v>13</v>
      </c>
      <c r="D859" s="5"/>
      <c r="E859" s="161"/>
      <c r="F859" s="161"/>
      <c r="G859" s="137"/>
      <c r="H859" s="137"/>
      <c r="I859" s="275"/>
      <c r="J859" s="61"/>
      <c r="K859" s="322" t="s">
        <v>187</v>
      </c>
      <c r="L859" s="15">
        <v>1</v>
      </c>
    </row>
    <row r="860" spans="1:10" s="9" customFormat="1" ht="30" customHeight="1">
      <c r="A860" s="51" t="s">
        <v>18</v>
      </c>
      <c r="B860" s="22">
        <f>C860*1.19</f>
        <v>7.14</v>
      </c>
      <c r="C860" s="32">
        <v>6</v>
      </c>
      <c r="D860" s="5"/>
      <c r="E860" s="161"/>
      <c r="F860" s="161"/>
      <c r="G860" s="137"/>
      <c r="H860" s="137"/>
      <c r="I860" s="275"/>
      <c r="J860" s="175"/>
    </row>
    <row r="861" spans="1:11" s="9" customFormat="1" ht="30" customHeight="1">
      <c r="A861" s="51" t="s">
        <v>11</v>
      </c>
      <c r="B861" s="5">
        <v>3</v>
      </c>
      <c r="C861" s="5">
        <v>3</v>
      </c>
      <c r="D861" s="5"/>
      <c r="E861" s="161"/>
      <c r="F861" s="161"/>
      <c r="G861" s="137"/>
      <c r="H861" s="137"/>
      <c r="I861" s="275"/>
      <c r="K861" s="335"/>
    </row>
    <row r="862" spans="1:11" s="9" customFormat="1" ht="30" customHeight="1">
      <c r="A862" s="481" t="s">
        <v>70</v>
      </c>
      <c r="B862" s="481"/>
      <c r="C862" s="481"/>
      <c r="D862" s="481"/>
      <c r="E862" s="481"/>
      <c r="F862" s="481"/>
      <c r="G862" s="481"/>
      <c r="H862" s="481"/>
      <c r="I862" s="481"/>
      <c r="K862" s="335"/>
    </row>
    <row r="863" spans="1:11" s="9" customFormat="1" ht="30" customHeight="1">
      <c r="A863" s="501" t="s">
        <v>353</v>
      </c>
      <c r="B863" s="501"/>
      <c r="C863" s="501"/>
      <c r="D863" s="23">
        <v>60</v>
      </c>
      <c r="E863" s="110">
        <v>0.6</v>
      </c>
      <c r="F863" s="110">
        <v>3</v>
      </c>
      <c r="G863" s="110">
        <v>2.1</v>
      </c>
      <c r="H863" s="256">
        <f>E863*4+F863*9+G863*4</f>
        <v>37.8</v>
      </c>
      <c r="I863" s="241" t="s">
        <v>354</v>
      </c>
      <c r="K863" s="335"/>
    </row>
    <row r="864" spans="1:11" s="9" customFormat="1" ht="30" customHeight="1">
      <c r="A864" s="56" t="s">
        <v>100</v>
      </c>
      <c r="B864" s="90">
        <f>C864*1.02</f>
        <v>59.160000000000004</v>
      </c>
      <c r="C864" s="60">
        <v>58</v>
      </c>
      <c r="D864" s="233"/>
      <c r="E864" s="110"/>
      <c r="F864" s="110"/>
      <c r="G864" s="110"/>
      <c r="H864" s="110"/>
      <c r="I864" s="241"/>
      <c r="J864" s="61"/>
      <c r="K864" s="335"/>
    </row>
    <row r="865" spans="1:11" s="9" customFormat="1" ht="30" customHeight="1">
      <c r="A865" s="57" t="s">
        <v>281</v>
      </c>
      <c r="B865" s="144">
        <f>C865*1.18</f>
        <v>68.44</v>
      </c>
      <c r="C865" s="60">
        <v>58</v>
      </c>
      <c r="D865" s="233"/>
      <c r="E865" s="110"/>
      <c r="F865" s="110"/>
      <c r="G865" s="110"/>
      <c r="H865" s="110"/>
      <c r="I865" s="241"/>
      <c r="K865" s="335"/>
    </row>
    <row r="866" spans="1:11" s="9" customFormat="1" ht="30" customHeight="1">
      <c r="A866" s="259" t="s">
        <v>123</v>
      </c>
      <c r="B866" s="260">
        <v>3</v>
      </c>
      <c r="C866" s="260">
        <v>3</v>
      </c>
      <c r="D866" s="233"/>
      <c r="E866" s="110"/>
      <c r="F866" s="110"/>
      <c r="G866" s="110"/>
      <c r="H866" s="110"/>
      <c r="I866" s="241"/>
      <c r="K866" s="335"/>
    </row>
    <row r="867" spans="1:11" s="9" customFormat="1" ht="30" customHeight="1">
      <c r="A867" s="482" t="s">
        <v>429</v>
      </c>
      <c r="B867" s="482"/>
      <c r="C867" s="482"/>
      <c r="D867" s="23" t="s">
        <v>158</v>
      </c>
      <c r="E867" s="110">
        <v>7.5</v>
      </c>
      <c r="F867" s="110">
        <v>4.9</v>
      </c>
      <c r="G867" s="110">
        <v>12.1</v>
      </c>
      <c r="H867" s="400">
        <f>E867*4+F867*9+G867*4</f>
        <v>122.5</v>
      </c>
      <c r="I867" s="244" t="s">
        <v>430</v>
      </c>
      <c r="K867" s="335"/>
    </row>
    <row r="868" spans="1:12" s="9" customFormat="1" ht="30" customHeight="1">
      <c r="A868" s="86" t="s">
        <v>88</v>
      </c>
      <c r="B868" s="27">
        <f>C868*1.36</f>
        <v>21.76</v>
      </c>
      <c r="C868" s="5">
        <v>16</v>
      </c>
      <c r="D868" s="237"/>
      <c r="E868" s="85"/>
      <c r="F868" s="85"/>
      <c r="G868" s="85"/>
      <c r="H868" s="258"/>
      <c r="I868" s="403"/>
      <c r="K868" s="335"/>
      <c r="L868" s="61"/>
    </row>
    <row r="869" spans="1:11" s="9" customFormat="1" ht="30" customHeight="1">
      <c r="A869" s="86" t="s">
        <v>89</v>
      </c>
      <c r="B869" s="27">
        <f>C869*1.18</f>
        <v>18.88</v>
      </c>
      <c r="C869" s="5">
        <v>16</v>
      </c>
      <c r="D869" s="237"/>
      <c r="E869" s="85"/>
      <c r="F869" s="85"/>
      <c r="G869" s="85"/>
      <c r="H869" s="258"/>
      <c r="I869" s="403"/>
      <c r="K869" s="335"/>
    </row>
    <row r="870" spans="1:11" s="9" customFormat="1" ht="30" customHeight="1">
      <c r="A870" s="56" t="s">
        <v>433</v>
      </c>
      <c r="B870" s="90">
        <f>C870*1.25</f>
        <v>56.25</v>
      </c>
      <c r="C870" s="60">
        <v>45</v>
      </c>
      <c r="D870" s="23"/>
      <c r="E870" s="110"/>
      <c r="F870" s="110"/>
      <c r="G870" s="110"/>
      <c r="H870" s="23"/>
      <c r="I870" s="414"/>
      <c r="K870" s="335"/>
    </row>
    <row r="871" spans="1:11" s="9" customFormat="1" ht="30" customHeight="1">
      <c r="A871" s="56" t="s">
        <v>16</v>
      </c>
      <c r="B871" s="90">
        <f>C871*1.33</f>
        <v>59.85</v>
      </c>
      <c r="C871" s="60">
        <v>45</v>
      </c>
      <c r="D871" s="23"/>
      <c r="E871" s="110"/>
      <c r="F871" s="110"/>
      <c r="G871" s="110"/>
      <c r="H871" s="256"/>
      <c r="I871" s="414"/>
      <c r="K871" s="335"/>
    </row>
    <row r="872" spans="1:12" s="9" customFormat="1" ht="30" customHeight="1">
      <c r="A872" s="56" t="s">
        <v>255</v>
      </c>
      <c r="B872" s="37">
        <f>C872*1.25</f>
        <v>27.5</v>
      </c>
      <c r="C872" s="60">
        <v>22</v>
      </c>
      <c r="D872" s="23"/>
      <c r="E872" s="110"/>
      <c r="F872" s="110"/>
      <c r="G872" s="110"/>
      <c r="H872" s="256"/>
      <c r="I872" s="414"/>
      <c r="K872" s="335"/>
      <c r="L872" s="61"/>
    </row>
    <row r="873" spans="1:12" s="9" customFormat="1" ht="30" customHeight="1">
      <c r="A873" s="56" t="s">
        <v>12</v>
      </c>
      <c r="B873" s="37">
        <f>C873*1.33</f>
        <v>19.950000000000003</v>
      </c>
      <c r="C873" s="60">
        <v>15</v>
      </c>
      <c r="D873" s="23"/>
      <c r="E873" s="110"/>
      <c r="F873" s="110"/>
      <c r="G873" s="110"/>
      <c r="H873" s="256"/>
      <c r="I873" s="414"/>
      <c r="K873" s="335"/>
      <c r="L873" s="15"/>
    </row>
    <row r="874" spans="1:12" s="9" customFormat="1" ht="30" customHeight="1">
      <c r="A874" s="56" t="s">
        <v>13</v>
      </c>
      <c r="B874" s="37">
        <f>C874*1.43</f>
        <v>21.45</v>
      </c>
      <c r="C874" s="60">
        <v>15</v>
      </c>
      <c r="D874" s="23"/>
      <c r="E874" s="110"/>
      <c r="F874" s="110"/>
      <c r="G874" s="110"/>
      <c r="H874" s="256"/>
      <c r="I874" s="414"/>
      <c r="J874" s="61"/>
      <c r="K874" s="334"/>
      <c r="L874" s="15"/>
    </row>
    <row r="875" spans="1:12" s="9" customFormat="1" ht="30" customHeight="1">
      <c r="A875" s="56" t="s">
        <v>14</v>
      </c>
      <c r="B875" s="37">
        <f>C875*1.54</f>
        <v>23.1</v>
      </c>
      <c r="C875" s="60">
        <v>15</v>
      </c>
      <c r="D875" s="23"/>
      <c r="E875" s="110"/>
      <c r="F875" s="110"/>
      <c r="G875" s="110"/>
      <c r="H875" s="256"/>
      <c r="I875" s="414"/>
      <c r="K875" s="335"/>
      <c r="L875" s="176"/>
    </row>
    <row r="876" spans="1:12" s="9" customFormat="1" ht="30" customHeight="1">
      <c r="A876" s="56" t="s">
        <v>15</v>
      </c>
      <c r="B876" s="37">
        <f>C876*1.67</f>
        <v>25.049999999999997</v>
      </c>
      <c r="C876" s="60">
        <v>15</v>
      </c>
      <c r="D876" s="23"/>
      <c r="E876" s="110"/>
      <c r="F876" s="110"/>
      <c r="G876" s="110"/>
      <c r="H876" s="256"/>
      <c r="I876" s="414"/>
      <c r="K876" s="335"/>
      <c r="L876" s="176"/>
    </row>
    <row r="877" spans="1:12" s="9" customFormat="1" ht="30" customHeight="1">
      <c r="A877" s="56" t="s">
        <v>431</v>
      </c>
      <c r="B877" s="90">
        <v>15</v>
      </c>
      <c r="C877" s="60">
        <v>15</v>
      </c>
      <c r="D877" s="23"/>
      <c r="E877" s="110"/>
      <c r="F877" s="110"/>
      <c r="G877" s="110"/>
      <c r="H877" s="256"/>
      <c r="I877" s="414"/>
      <c r="K877" s="335"/>
      <c r="L877" s="176"/>
    </row>
    <row r="878" spans="1:12" s="9" customFormat="1" ht="30" customHeight="1">
      <c r="A878" s="56" t="s">
        <v>383</v>
      </c>
      <c r="B878" s="37">
        <f>C878*1.25</f>
        <v>18.75</v>
      </c>
      <c r="C878" s="60">
        <v>15</v>
      </c>
      <c r="D878" s="23"/>
      <c r="E878" s="110"/>
      <c r="F878" s="110"/>
      <c r="G878" s="110"/>
      <c r="H878" s="256"/>
      <c r="I878" s="414"/>
      <c r="K878" s="335"/>
      <c r="L878" s="15"/>
    </row>
    <row r="879" spans="1:12" s="9" customFormat="1" ht="30" customHeight="1">
      <c r="A879" s="54" t="s">
        <v>16</v>
      </c>
      <c r="B879" s="90">
        <f>C879*1.33</f>
        <v>19.950000000000003</v>
      </c>
      <c r="C879" s="60">
        <v>15</v>
      </c>
      <c r="D879" s="23"/>
      <c r="E879" s="110"/>
      <c r="F879" s="110"/>
      <c r="G879" s="110"/>
      <c r="H879" s="256"/>
      <c r="I879" s="414"/>
      <c r="K879" s="335"/>
      <c r="L879" s="15"/>
    </row>
    <row r="880" spans="1:12" s="9" customFormat="1" ht="30" customHeight="1">
      <c r="A880" s="54" t="s">
        <v>18</v>
      </c>
      <c r="B880" s="37">
        <f>C880*1.19</f>
        <v>11.899999999999999</v>
      </c>
      <c r="C880" s="60">
        <v>10</v>
      </c>
      <c r="D880" s="23"/>
      <c r="E880" s="110"/>
      <c r="F880" s="110"/>
      <c r="G880" s="110"/>
      <c r="H880" s="256"/>
      <c r="I880" s="414"/>
      <c r="K880" s="335"/>
      <c r="L880" s="15"/>
    </row>
    <row r="881" spans="1:12" s="9" customFormat="1" ht="30" customHeight="1">
      <c r="A881" s="56" t="s">
        <v>432</v>
      </c>
      <c r="B881" s="90">
        <v>3</v>
      </c>
      <c r="C881" s="90">
        <v>3</v>
      </c>
      <c r="D881" s="23"/>
      <c r="E881" s="110"/>
      <c r="F881" s="110"/>
      <c r="G881" s="110"/>
      <c r="H881" s="256"/>
      <c r="I881" s="414"/>
      <c r="K881" s="335"/>
      <c r="L881" s="15"/>
    </row>
    <row r="882" spans="1:12" s="9" customFormat="1" ht="30" customHeight="1">
      <c r="A882" s="56" t="s">
        <v>19</v>
      </c>
      <c r="B882" s="90">
        <v>5</v>
      </c>
      <c r="C882" s="90">
        <v>5</v>
      </c>
      <c r="D882" s="23"/>
      <c r="E882" s="110"/>
      <c r="F882" s="110"/>
      <c r="G882" s="110"/>
      <c r="H882" s="256"/>
      <c r="I882" s="414"/>
      <c r="K882" s="335"/>
      <c r="L882" s="15"/>
    </row>
    <row r="883" spans="1:12" s="9" customFormat="1" ht="30" customHeight="1">
      <c r="A883" s="56" t="s">
        <v>4</v>
      </c>
      <c r="B883" s="243">
        <v>0.5</v>
      </c>
      <c r="C883" s="243">
        <v>0.5</v>
      </c>
      <c r="D883" s="23"/>
      <c r="E883" s="110"/>
      <c r="F883" s="110"/>
      <c r="G883" s="110"/>
      <c r="H883" s="256"/>
      <c r="I883" s="414"/>
      <c r="K883" s="335"/>
      <c r="L883" s="15"/>
    </row>
    <row r="884" spans="1:12" s="9" customFormat="1" ht="30" customHeight="1">
      <c r="A884" s="56" t="s">
        <v>57</v>
      </c>
      <c r="B884" s="60">
        <v>5</v>
      </c>
      <c r="C884" s="60">
        <v>5</v>
      </c>
      <c r="D884" s="20"/>
      <c r="E884" s="44"/>
      <c r="F884" s="44"/>
      <c r="G884" s="44"/>
      <c r="H884" s="294"/>
      <c r="I884" s="274"/>
      <c r="K884" s="335"/>
      <c r="L884" s="15"/>
    </row>
    <row r="885" spans="1:12" s="9" customFormat="1" ht="30" customHeight="1">
      <c r="A885" s="56" t="s">
        <v>73</v>
      </c>
      <c r="B885" s="143">
        <v>0.2</v>
      </c>
      <c r="C885" s="143">
        <v>0.2</v>
      </c>
      <c r="D885" s="237"/>
      <c r="E885" s="85"/>
      <c r="F885" s="85"/>
      <c r="G885" s="85"/>
      <c r="H885" s="258"/>
      <c r="I885" s="275"/>
      <c r="K885" s="335"/>
      <c r="L885" s="15"/>
    </row>
    <row r="886" spans="1:12" s="9" customFormat="1" ht="30" customHeight="1">
      <c r="A886" s="482" t="s">
        <v>464</v>
      </c>
      <c r="B886" s="482"/>
      <c r="C886" s="482"/>
      <c r="D886" s="23" t="s">
        <v>240</v>
      </c>
      <c r="E886" s="83">
        <v>8.6</v>
      </c>
      <c r="F886" s="83">
        <v>12</v>
      </c>
      <c r="G886" s="83">
        <v>10</v>
      </c>
      <c r="H886" s="43">
        <f>E886*4+F886*9+G886*4</f>
        <v>182.4</v>
      </c>
      <c r="I886" s="382" t="s">
        <v>444</v>
      </c>
      <c r="K886" s="335"/>
      <c r="L886" s="15"/>
    </row>
    <row r="887" spans="1:12" s="9" customFormat="1" ht="30" customHeight="1">
      <c r="A887" s="444" t="s">
        <v>445</v>
      </c>
      <c r="B887" s="117">
        <f>C887*1.054</f>
        <v>63.24</v>
      </c>
      <c r="C887" s="146">
        <v>60</v>
      </c>
      <c r="D887" s="228"/>
      <c r="E887" s="95"/>
      <c r="F887" s="95"/>
      <c r="G887" s="95"/>
      <c r="H887" s="87"/>
      <c r="I887" s="275"/>
      <c r="J887" s="61"/>
      <c r="K887" s="334"/>
      <c r="L887" s="15"/>
    </row>
    <row r="888" spans="1:12" s="9" customFormat="1" ht="30" customHeight="1">
      <c r="A888" s="115" t="s">
        <v>446</v>
      </c>
      <c r="B888" s="48">
        <f>C888*1.47</f>
        <v>88.2</v>
      </c>
      <c r="C888" s="453">
        <v>60</v>
      </c>
      <c r="D888" s="161"/>
      <c r="E888" s="454"/>
      <c r="F888" s="454"/>
      <c r="G888" s="454"/>
      <c r="H888" s="455"/>
      <c r="I888" s="454"/>
      <c r="K888" s="335"/>
      <c r="L888" s="15"/>
    </row>
    <row r="889" spans="1:12" s="9" customFormat="1" ht="30" customHeight="1">
      <c r="A889" s="53" t="s">
        <v>10</v>
      </c>
      <c r="B889" s="36">
        <v>17</v>
      </c>
      <c r="C889" s="36">
        <v>17</v>
      </c>
      <c r="D889" s="456"/>
      <c r="E889" s="41"/>
      <c r="F889" s="41"/>
      <c r="G889" s="41"/>
      <c r="H889" s="37"/>
      <c r="I889" s="286"/>
      <c r="K889" s="335"/>
      <c r="L889" s="15"/>
    </row>
    <row r="890" spans="1:12" s="9" customFormat="1" ht="30" customHeight="1">
      <c r="A890" s="53" t="s">
        <v>18</v>
      </c>
      <c r="B890" s="37">
        <f>C890*1.19</f>
        <v>9.52</v>
      </c>
      <c r="C890" s="37">
        <v>8</v>
      </c>
      <c r="D890" s="456"/>
      <c r="E890" s="41"/>
      <c r="F890" s="41"/>
      <c r="G890" s="41"/>
      <c r="H890" s="37"/>
      <c r="I890" s="291"/>
      <c r="K890" s="335"/>
      <c r="L890" s="15"/>
    </row>
    <row r="891" spans="1:12" s="9" customFormat="1" ht="30" customHeight="1">
      <c r="A891" s="53" t="s">
        <v>52</v>
      </c>
      <c r="B891" s="36">
        <v>18</v>
      </c>
      <c r="C891" s="36">
        <v>18</v>
      </c>
      <c r="D891" s="456"/>
      <c r="E891" s="41"/>
      <c r="F891" s="41"/>
      <c r="G891" s="41"/>
      <c r="H891" s="37"/>
      <c r="I891" s="286"/>
      <c r="K891" s="335"/>
      <c r="L891" s="15"/>
    </row>
    <row r="892" spans="1:12" s="9" customFormat="1" ht="30" customHeight="1">
      <c r="A892" s="58" t="s">
        <v>38</v>
      </c>
      <c r="B892" s="89">
        <f>B891*460/1000</f>
        <v>8.28</v>
      </c>
      <c r="C892" s="89">
        <f>C891*460/1000</f>
        <v>8.28</v>
      </c>
      <c r="D892" s="161"/>
      <c r="E892" s="41"/>
      <c r="F892" s="41"/>
      <c r="G892" s="41"/>
      <c r="H892" s="37"/>
      <c r="I892" s="286"/>
      <c r="K892" s="335"/>
      <c r="L892" s="15"/>
    </row>
    <row r="893" spans="1:12" s="9" customFormat="1" ht="30" customHeight="1">
      <c r="A893" s="58" t="s">
        <v>39</v>
      </c>
      <c r="B893" s="89">
        <f>B891*120/1000</f>
        <v>2.16</v>
      </c>
      <c r="C893" s="89">
        <f>C891*120/1000</f>
        <v>2.16</v>
      </c>
      <c r="D893" s="161"/>
      <c r="E893" s="41"/>
      <c r="F893" s="41"/>
      <c r="G893" s="41"/>
      <c r="H893" s="37"/>
      <c r="I893" s="286"/>
      <c r="K893" s="335"/>
      <c r="L893" s="15"/>
    </row>
    <row r="894" spans="1:12" s="9" customFormat="1" ht="30" customHeight="1">
      <c r="A894" s="190" t="s">
        <v>155</v>
      </c>
      <c r="B894" s="191">
        <f>B891-B892</f>
        <v>9.72</v>
      </c>
      <c r="C894" s="191">
        <f>C891-C892</f>
        <v>9.72</v>
      </c>
      <c r="D894" s="161"/>
      <c r="E894" s="41"/>
      <c r="F894" s="41"/>
      <c r="G894" s="41"/>
      <c r="H894" s="37"/>
      <c r="I894" s="286"/>
      <c r="K894" s="335"/>
      <c r="L894" s="15"/>
    </row>
    <row r="895" spans="1:12" s="9" customFormat="1" ht="30" customHeight="1">
      <c r="A895" s="190" t="s">
        <v>156</v>
      </c>
      <c r="B895" s="191">
        <f>B891-B893</f>
        <v>15.84</v>
      </c>
      <c r="C895" s="191">
        <f>C891-C893</f>
        <v>15.84</v>
      </c>
      <c r="D895" s="161"/>
      <c r="E895" s="41"/>
      <c r="F895" s="41"/>
      <c r="G895" s="41"/>
      <c r="H895" s="37"/>
      <c r="I895" s="286"/>
      <c r="K895" s="335"/>
      <c r="L895" s="15"/>
    </row>
    <row r="896" spans="1:12" s="9" customFormat="1" ht="30" customHeight="1">
      <c r="A896" s="53" t="s">
        <v>86</v>
      </c>
      <c r="B896" s="36">
        <v>6.5</v>
      </c>
      <c r="C896" s="36">
        <v>6.5</v>
      </c>
      <c r="D896" s="161"/>
      <c r="E896" s="41"/>
      <c r="F896" s="41"/>
      <c r="G896" s="41"/>
      <c r="H896" s="37"/>
      <c r="I896" s="286"/>
      <c r="K896" s="335"/>
      <c r="L896" s="15"/>
    </row>
    <row r="897" spans="1:12" s="9" customFormat="1" ht="30" customHeight="1">
      <c r="A897" s="53" t="s">
        <v>21</v>
      </c>
      <c r="B897" s="36">
        <v>5.5</v>
      </c>
      <c r="C897" s="36">
        <v>5.5</v>
      </c>
      <c r="D897" s="456"/>
      <c r="E897" s="41"/>
      <c r="F897" s="41"/>
      <c r="G897" s="41"/>
      <c r="H897" s="37"/>
      <c r="I897" s="286"/>
      <c r="K897" s="335"/>
      <c r="L897" s="15"/>
    </row>
    <row r="898" spans="1:12" s="9" customFormat="1" ht="30" customHeight="1">
      <c r="A898" s="53" t="s">
        <v>11</v>
      </c>
      <c r="B898" s="36">
        <v>2</v>
      </c>
      <c r="C898" s="36">
        <v>2</v>
      </c>
      <c r="D898" s="161"/>
      <c r="E898" s="41"/>
      <c r="F898" s="41"/>
      <c r="G898" s="41"/>
      <c r="H898" s="37"/>
      <c r="I898" s="286"/>
      <c r="K898" s="335"/>
      <c r="L898" s="15"/>
    </row>
    <row r="899" spans="1:12" s="9" customFormat="1" ht="30" customHeight="1">
      <c r="A899" s="51" t="s">
        <v>37</v>
      </c>
      <c r="B899" s="5">
        <v>5</v>
      </c>
      <c r="C899" s="5">
        <v>5</v>
      </c>
      <c r="D899" s="161"/>
      <c r="E899" s="41"/>
      <c r="F899" s="41"/>
      <c r="G899" s="41"/>
      <c r="H899" s="37"/>
      <c r="I899" s="286"/>
      <c r="K899" s="335"/>
      <c r="L899" s="15"/>
    </row>
    <row r="900" spans="1:12" s="9" customFormat="1" ht="30" customHeight="1">
      <c r="A900" s="481" t="s">
        <v>70</v>
      </c>
      <c r="B900" s="495"/>
      <c r="C900" s="495"/>
      <c r="D900" s="495"/>
      <c r="E900" s="495"/>
      <c r="F900" s="495"/>
      <c r="G900" s="495"/>
      <c r="H900" s="495"/>
      <c r="I900" s="282"/>
      <c r="K900" s="335"/>
      <c r="L900" s="15"/>
    </row>
    <row r="901" spans="1:12" s="9" customFormat="1" ht="30" customHeight="1">
      <c r="A901" s="484" t="s">
        <v>242</v>
      </c>
      <c r="B901" s="484"/>
      <c r="C901" s="484"/>
      <c r="D901" s="21" t="s">
        <v>240</v>
      </c>
      <c r="E901" s="44">
        <v>13.3</v>
      </c>
      <c r="F901" s="44">
        <v>12.9</v>
      </c>
      <c r="G901" s="44">
        <v>10.8</v>
      </c>
      <c r="H901" s="43">
        <f>G901*4+F901*9+E901*4</f>
        <v>212.5</v>
      </c>
      <c r="I901" s="276" t="s">
        <v>238</v>
      </c>
      <c r="K901" s="335"/>
      <c r="L901" s="15"/>
    </row>
    <row r="902" spans="1:12" s="9" customFormat="1" ht="30" customHeight="1">
      <c r="A902" s="86" t="s">
        <v>88</v>
      </c>
      <c r="B902" s="48">
        <f>C902*1.36</f>
        <v>91.12</v>
      </c>
      <c r="C902" s="5">
        <v>67</v>
      </c>
      <c r="D902" s="36"/>
      <c r="E902" s="95"/>
      <c r="F902" s="44"/>
      <c r="G902" s="44"/>
      <c r="H902" s="43"/>
      <c r="I902" s="275"/>
      <c r="K902" s="335"/>
      <c r="L902" s="15"/>
    </row>
    <row r="903" spans="1:12" s="9" customFormat="1" ht="30" customHeight="1">
      <c r="A903" s="86" t="s">
        <v>89</v>
      </c>
      <c r="B903" s="48">
        <f>C903*1.18</f>
        <v>79.06</v>
      </c>
      <c r="C903" s="35">
        <v>67</v>
      </c>
      <c r="D903" s="36"/>
      <c r="E903" s="44"/>
      <c r="F903" s="44"/>
      <c r="G903" s="44"/>
      <c r="H903" s="43"/>
      <c r="I903" s="275"/>
      <c r="K903" s="335"/>
      <c r="L903" s="15"/>
    </row>
    <row r="904" spans="1:12" ht="30" customHeight="1">
      <c r="A904" s="51" t="s">
        <v>10</v>
      </c>
      <c r="B904" s="5">
        <v>14</v>
      </c>
      <c r="C904" s="5">
        <v>14</v>
      </c>
      <c r="D904" s="36"/>
      <c r="E904" s="95"/>
      <c r="F904" s="95"/>
      <c r="G904" s="95"/>
      <c r="H904" s="43"/>
      <c r="I904" s="274"/>
      <c r="L904" s="70"/>
    </row>
    <row r="905" spans="1:12" s="9" customFormat="1" ht="30" customHeight="1">
      <c r="A905" s="53" t="s">
        <v>241</v>
      </c>
      <c r="B905" s="36">
        <v>11</v>
      </c>
      <c r="C905" s="36">
        <v>11</v>
      </c>
      <c r="D905" s="36"/>
      <c r="E905" s="41"/>
      <c r="F905" s="41"/>
      <c r="G905" s="41"/>
      <c r="H905" s="41"/>
      <c r="I905" s="275"/>
      <c r="K905" s="335"/>
      <c r="L905" s="15"/>
    </row>
    <row r="906" spans="1:12" s="9" customFormat="1" ht="30" customHeight="1">
      <c r="A906" s="58" t="s">
        <v>38</v>
      </c>
      <c r="B906" s="89">
        <f>B905*460/1000</f>
        <v>5.06</v>
      </c>
      <c r="C906" s="89">
        <f>C905*460/1000</f>
        <v>5.06</v>
      </c>
      <c r="D906" s="36"/>
      <c r="E906" s="95"/>
      <c r="F906" s="95"/>
      <c r="G906" s="95"/>
      <c r="H906" s="95"/>
      <c r="I906" s="274"/>
      <c r="K906" s="335"/>
      <c r="L906" s="15"/>
    </row>
    <row r="907" spans="1:12" s="9" customFormat="1" ht="30" customHeight="1">
      <c r="A907" s="58" t="s">
        <v>39</v>
      </c>
      <c r="B907" s="89">
        <f>B905*120/1000</f>
        <v>1.32</v>
      </c>
      <c r="C907" s="89">
        <f>C905*120/1000</f>
        <v>1.32</v>
      </c>
      <c r="D907" s="36"/>
      <c r="E907" s="95"/>
      <c r="F907" s="95"/>
      <c r="G907" s="95"/>
      <c r="H907" s="95"/>
      <c r="I907" s="274"/>
      <c r="K907" s="335"/>
      <c r="L907" s="15"/>
    </row>
    <row r="908" spans="1:12" s="9" customFormat="1" ht="30" customHeight="1">
      <c r="A908" s="190" t="s">
        <v>155</v>
      </c>
      <c r="B908" s="191">
        <f>B905-B906</f>
        <v>5.94</v>
      </c>
      <c r="C908" s="191">
        <f>C905-C906</f>
        <v>5.94</v>
      </c>
      <c r="D908" s="36"/>
      <c r="E908" s="95"/>
      <c r="F908" s="95"/>
      <c r="G908" s="95"/>
      <c r="H908" s="95"/>
      <c r="I908" s="274"/>
      <c r="K908" s="335"/>
      <c r="L908" s="15"/>
    </row>
    <row r="909" spans="1:13" s="9" customFormat="1" ht="30" customHeight="1">
      <c r="A909" s="190" t="s">
        <v>156</v>
      </c>
      <c r="B909" s="191">
        <f>B905-B907</f>
        <v>9.68</v>
      </c>
      <c r="C909" s="191">
        <f>C905-C907</f>
        <v>9.68</v>
      </c>
      <c r="D909" s="36"/>
      <c r="E909" s="95"/>
      <c r="F909" s="95"/>
      <c r="G909" s="95"/>
      <c r="H909" s="95"/>
      <c r="I909" s="274"/>
      <c r="J909" s="61"/>
      <c r="K909" s="334"/>
      <c r="L909" s="70"/>
      <c r="M909" s="61"/>
    </row>
    <row r="910" spans="1:12" s="9" customFormat="1" ht="30" customHeight="1">
      <c r="A910" s="53" t="s">
        <v>18</v>
      </c>
      <c r="B910" s="37">
        <f>C910*1.19</f>
        <v>8.33</v>
      </c>
      <c r="C910" s="36">
        <v>7</v>
      </c>
      <c r="D910" s="36"/>
      <c r="E910" s="95"/>
      <c r="F910" s="44"/>
      <c r="G910" s="44"/>
      <c r="H910" s="294"/>
      <c r="I910" s="274"/>
      <c r="K910" s="335"/>
      <c r="L910" s="15"/>
    </row>
    <row r="911" spans="1:12" s="9" customFormat="1" ht="30" customHeight="1">
      <c r="A911" s="53" t="s">
        <v>86</v>
      </c>
      <c r="B911" s="234">
        <v>3.5</v>
      </c>
      <c r="C911" s="234">
        <v>3.5</v>
      </c>
      <c r="D911" s="36"/>
      <c r="E911" s="95"/>
      <c r="F911" s="95"/>
      <c r="G911" s="95"/>
      <c r="H911" s="266"/>
      <c r="I911" s="274"/>
      <c r="K911" s="335"/>
      <c r="L911" s="15"/>
    </row>
    <row r="912" spans="1:12" s="9" customFormat="1" ht="30" customHeight="1">
      <c r="A912" s="53" t="s">
        <v>172</v>
      </c>
      <c r="B912" s="234">
        <v>7</v>
      </c>
      <c r="C912" s="234">
        <v>7</v>
      </c>
      <c r="D912" s="36"/>
      <c r="E912" s="95"/>
      <c r="F912" s="95"/>
      <c r="G912" s="95"/>
      <c r="H912" s="266"/>
      <c r="I912" s="274"/>
      <c r="K912" s="335"/>
      <c r="L912" s="15"/>
    </row>
    <row r="913" spans="1:12" s="9" customFormat="1" ht="30" customHeight="1">
      <c r="A913" s="51" t="s">
        <v>11</v>
      </c>
      <c r="B913" s="5">
        <v>2</v>
      </c>
      <c r="C913" s="5">
        <v>2</v>
      </c>
      <c r="D913" s="36"/>
      <c r="E913" s="95"/>
      <c r="F913" s="44"/>
      <c r="G913" s="44"/>
      <c r="H913" s="43"/>
      <c r="I913" s="274"/>
      <c r="K913" s="335"/>
      <c r="L913" s="15"/>
    </row>
    <row r="914" spans="1:12" s="9" customFormat="1" ht="30" customHeight="1">
      <c r="A914" s="51" t="s">
        <v>37</v>
      </c>
      <c r="B914" s="5">
        <v>5</v>
      </c>
      <c r="C914" s="5">
        <v>5</v>
      </c>
      <c r="D914" s="187"/>
      <c r="E914" s="95"/>
      <c r="F914" s="95"/>
      <c r="G914" s="95"/>
      <c r="H914" s="296"/>
      <c r="I914" s="274"/>
      <c r="K914" s="335"/>
      <c r="L914" s="15"/>
    </row>
    <row r="915" spans="1:12" s="9" customFormat="1" ht="30" customHeight="1">
      <c r="A915" s="477" t="s">
        <v>274</v>
      </c>
      <c r="B915" s="477"/>
      <c r="C915" s="477"/>
      <c r="D915" s="294">
        <v>150</v>
      </c>
      <c r="E915" s="44">
        <v>3.1</v>
      </c>
      <c r="F915" s="44">
        <v>3.9</v>
      </c>
      <c r="G915" s="44">
        <v>12.4</v>
      </c>
      <c r="H915" s="43">
        <f>E915*4+F915*9+G915*4</f>
        <v>97.1</v>
      </c>
      <c r="I915" s="276" t="s">
        <v>275</v>
      </c>
      <c r="K915" s="335"/>
      <c r="L915" s="15"/>
    </row>
    <row r="916" spans="1:12" s="9" customFormat="1" ht="30" customHeight="1">
      <c r="A916" s="51" t="s">
        <v>56</v>
      </c>
      <c r="B916" s="87">
        <f>C916*1.25</f>
        <v>215</v>
      </c>
      <c r="C916" s="87">
        <v>172</v>
      </c>
      <c r="D916" s="296"/>
      <c r="E916" s="95"/>
      <c r="F916" s="95"/>
      <c r="G916" s="95"/>
      <c r="H916" s="296"/>
      <c r="I916" s="275"/>
      <c r="K916" s="335"/>
      <c r="L916" s="15"/>
    </row>
    <row r="917" spans="1:12" s="9" customFormat="1" ht="30" customHeight="1">
      <c r="A917" s="53" t="s">
        <v>11</v>
      </c>
      <c r="B917" s="37">
        <v>4</v>
      </c>
      <c r="C917" s="37">
        <v>4</v>
      </c>
      <c r="D917" s="36"/>
      <c r="E917" s="41"/>
      <c r="F917" s="41"/>
      <c r="G917" s="41"/>
      <c r="H917" s="41"/>
      <c r="I917" s="275"/>
      <c r="J917" s="61"/>
      <c r="K917" s="334"/>
      <c r="L917" s="15"/>
    </row>
    <row r="918" spans="1:12" s="9" customFormat="1" ht="30" customHeight="1">
      <c r="A918" s="51" t="s">
        <v>61</v>
      </c>
      <c r="B918" s="37">
        <f>C918*1.25</f>
        <v>10</v>
      </c>
      <c r="C918" s="36">
        <v>8</v>
      </c>
      <c r="D918" s="296"/>
      <c r="E918" s="95"/>
      <c r="F918" s="95"/>
      <c r="G918" s="95"/>
      <c r="H918" s="296"/>
      <c r="I918" s="274"/>
      <c r="K918" s="335"/>
      <c r="L918" s="15"/>
    </row>
    <row r="919" spans="1:12" s="9" customFormat="1" ht="30" customHeight="1">
      <c r="A919" s="51" t="s">
        <v>16</v>
      </c>
      <c r="B919" s="87">
        <f>C919*1.33</f>
        <v>10.64</v>
      </c>
      <c r="C919" s="296">
        <v>8</v>
      </c>
      <c r="D919" s="296"/>
      <c r="E919" s="95"/>
      <c r="F919" s="44"/>
      <c r="G919" s="44"/>
      <c r="H919" s="294"/>
      <c r="I919" s="274"/>
      <c r="K919" s="335"/>
      <c r="L919" s="15"/>
    </row>
    <row r="920" spans="1:12" s="9" customFormat="1" ht="30" customHeight="1">
      <c r="A920" s="53" t="s">
        <v>18</v>
      </c>
      <c r="B920" s="37">
        <f>C920*1.19</f>
        <v>8.33</v>
      </c>
      <c r="C920" s="25">
        <v>7</v>
      </c>
      <c r="D920" s="36"/>
      <c r="E920" s="41"/>
      <c r="F920" s="110"/>
      <c r="G920" s="110"/>
      <c r="H920" s="23"/>
      <c r="I920" s="275"/>
      <c r="K920" s="335"/>
      <c r="L920" s="15"/>
    </row>
    <row r="921" spans="1:12" ht="30" customHeight="1">
      <c r="A921" s="56" t="s">
        <v>54</v>
      </c>
      <c r="B921" s="25">
        <v>3</v>
      </c>
      <c r="C921" s="25">
        <v>3</v>
      </c>
      <c r="D921" s="36"/>
      <c r="E921" s="41"/>
      <c r="F921" s="110"/>
      <c r="G921" s="110"/>
      <c r="H921" s="23"/>
      <c r="L921" s="70"/>
    </row>
    <row r="922" spans="1:12" s="9" customFormat="1" ht="30" customHeight="1">
      <c r="A922" s="53" t="s">
        <v>21</v>
      </c>
      <c r="B922" s="385">
        <v>2.5</v>
      </c>
      <c r="C922" s="385">
        <v>2.5</v>
      </c>
      <c r="D922" s="36"/>
      <c r="E922" s="386"/>
      <c r="F922" s="386"/>
      <c r="G922" s="386"/>
      <c r="H922" s="386"/>
      <c r="I922" s="275"/>
      <c r="J922" s="61"/>
      <c r="K922" s="334"/>
      <c r="L922" s="15"/>
    </row>
    <row r="923" spans="1:12" s="9" customFormat="1" ht="30" customHeight="1">
      <c r="A923" s="53" t="s">
        <v>4</v>
      </c>
      <c r="B923" s="25">
        <v>2.5</v>
      </c>
      <c r="C923" s="25">
        <v>2.5</v>
      </c>
      <c r="D923" s="36"/>
      <c r="E923" s="41"/>
      <c r="F923" s="110"/>
      <c r="G923" s="110"/>
      <c r="H923" s="23"/>
      <c r="I923" s="275"/>
      <c r="J923" s="61"/>
      <c r="K923" s="334"/>
      <c r="L923" s="15"/>
    </row>
    <row r="924" spans="1:12" ht="30" customHeight="1">
      <c r="A924" s="491" t="s">
        <v>276</v>
      </c>
      <c r="B924" s="491"/>
      <c r="C924" s="491"/>
      <c r="D924" s="26">
        <v>200</v>
      </c>
      <c r="E924" s="45">
        <v>1</v>
      </c>
      <c r="F924" s="45">
        <v>0</v>
      </c>
      <c r="G924" s="45">
        <v>25.2</v>
      </c>
      <c r="H924" s="43">
        <f>G924*4+F924*9+E924*4</f>
        <v>104.8</v>
      </c>
      <c r="I924" s="276" t="s">
        <v>247</v>
      </c>
      <c r="L924" s="70"/>
    </row>
    <row r="925" spans="1:12" ht="30" customHeight="1">
      <c r="A925" s="53" t="s">
        <v>74</v>
      </c>
      <c r="B925" s="36">
        <v>25</v>
      </c>
      <c r="C925" s="36">
        <v>25</v>
      </c>
      <c r="D925" s="36"/>
      <c r="E925" s="95"/>
      <c r="F925" s="95"/>
      <c r="G925" s="95"/>
      <c r="H925" s="296"/>
      <c r="I925" s="274"/>
      <c r="L925" s="70"/>
    </row>
    <row r="926" spans="1:12" ht="30" customHeight="1">
      <c r="A926" s="53" t="s">
        <v>4</v>
      </c>
      <c r="B926" s="36">
        <v>10</v>
      </c>
      <c r="C926" s="36">
        <v>10</v>
      </c>
      <c r="D926" s="36"/>
      <c r="E926" s="95"/>
      <c r="F926" s="95"/>
      <c r="G926" s="95"/>
      <c r="H926" s="296"/>
      <c r="I926" s="274"/>
      <c r="L926" s="70"/>
    </row>
    <row r="927" spans="1:12" ht="30" customHeight="1">
      <c r="A927" s="149" t="s">
        <v>20</v>
      </c>
      <c r="B927" s="36">
        <v>50</v>
      </c>
      <c r="C927" s="36">
        <v>50</v>
      </c>
      <c r="D927" s="23">
        <v>50</v>
      </c>
      <c r="E927" s="110">
        <v>2.5</v>
      </c>
      <c r="F927" s="110">
        <v>0.7000000000000001</v>
      </c>
      <c r="G927" s="110">
        <v>20.25</v>
      </c>
      <c r="H927" s="110">
        <v>97.3</v>
      </c>
      <c r="J927" s="70"/>
      <c r="K927" s="363"/>
      <c r="L927" s="70"/>
    </row>
    <row r="928" spans="1:12" s="9" customFormat="1" ht="30" customHeight="1">
      <c r="A928" s="477" t="s">
        <v>75</v>
      </c>
      <c r="B928" s="478"/>
      <c r="C928" s="478"/>
      <c r="D928" s="77">
        <v>50</v>
      </c>
      <c r="E928" s="95"/>
      <c r="F928" s="95"/>
      <c r="G928" s="95"/>
      <c r="H928" s="95"/>
      <c r="I928" s="274"/>
      <c r="J928" s="15"/>
      <c r="K928" s="339"/>
      <c r="L928" s="176"/>
    </row>
    <row r="929" spans="1:12" s="9" customFormat="1" ht="30" customHeight="1">
      <c r="A929" s="149" t="s">
        <v>26</v>
      </c>
      <c r="B929" s="36">
        <v>50</v>
      </c>
      <c r="C929" s="36">
        <v>50</v>
      </c>
      <c r="D929" s="23">
        <v>50</v>
      </c>
      <c r="E929" s="110">
        <v>1.75</v>
      </c>
      <c r="F929" s="110">
        <v>0.25</v>
      </c>
      <c r="G929" s="110">
        <v>23.5</v>
      </c>
      <c r="H929" s="110">
        <v>103.25</v>
      </c>
      <c r="I929" s="275"/>
      <c r="J929" s="15"/>
      <c r="K929" s="339"/>
      <c r="L929" s="15"/>
    </row>
    <row r="930" spans="1:12" s="9" customFormat="1" ht="30" customHeight="1">
      <c r="A930" s="475" t="s">
        <v>24</v>
      </c>
      <c r="B930" s="475"/>
      <c r="C930" s="475"/>
      <c r="D930" s="475"/>
      <c r="E930" s="99">
        <f>E849+E821</f>
        <v>45.983333333333334</v>
      </c>
      <c r="F930" s="99">
        <f>F849+F821</f>
        <v>45.64999999999999</v>
      </c>
      <c r="G930" s="99">
        <f>G849+G821</f>
        <v>193.05</v>
      </c>
      <c r="H930" s="96">
        <f>H849+H821</f>
        <v>1366.8833333333332</v>
      </c>
      <c r="I930" s="274"/>
      <c r="J930" s="15"/>
      <c r="K930" s="339"/>
      <c r="L930" s="15"/>
    </row>
    <row r="931" spans="1:12" ht="30" customHeight="1">
      <c r="A931" s="490" t="s">
        <v>49</v>
      </c>
      <c r="B931" s="490"/>
      <c r="C931" s="490"/>
      <c r="D931" s="490"/>
      <c r="E931" s="490"/>
      <c r="F931" s="490"/>
      <c r="G931" s="490"/>
      <c r="H931" s="490"/>
      <c r="I931" s="490"/>
      <c r="J931" s="70"/>
      <c r="K931" s="363"/>
      <c r="L931" s="70"/>
    </row>
    <row r="932" spans="1:12" s="9" customFormat="1" ht="30" customHeight="1">
      <c r="A932" s="487" t="s">
        <v>0</v>
      </c>
      <c r="B932" s="476" t="s">
        <v>6</v>
      </c>
      <c r="C932" s="476" t="s">
        <v>7</v>
      </c>
      <c r="D932" s="487" t="s">
        <v>5</v>
      </c>
      <c r="E932" s="487"/>
      <c r="F932" s="487"/>
      <c r="G932" s="487"/>
      <c r="H932" s="487"/>
      <c r="I932" s="487"/>
      <c r="J932" s="15"/>
      <c r="K932" s="339"/>
      <c r="L932" s="15"/>
    </row>
    <row r="933" spans="1:12" ht="30" customHeight="1">
      <c r="A933" s="487"/>
      <c r="B933" s="476"/>
      <c r="C933" s="476"/>
      <c r="D933" s="138" t="s">
        <v>8</v>
      </c>
      <c r="E933" s="301" t="s">
        <v>1</v>
      </c>
      <c r="F933" s="301" t="s">
        <v>2</v>
      </c>
      <c r="G933" s="301" t="s">
        <v>9</v>
      </c>
      <c r="H933" s="300" t="s">
        <v>3</v>
      </c>
      <c r="I933" s="302" t="s">
        <v>199</v>
      </c>
      <c r="J933" s="70"/>
      <c r="K933" s="363"/>
      <c r="L933" s="70"/>
    </row>
    <row r="934" spans="1:12" s="9" customFormat="1" ht="30" customHeight="1">
      <c r="A934" s="479" t="s">
        <v>109</v>
      </c>
      <c r="B934" s="479"/>
      <c r="C934" s="479"/>
      <c r="D934" s="263">
        <f>40+D938+207+D950</f>
        <v>522</v>
      </c>
      <c r="E934" s="99">
        <f>E938+E935+E946+E950</f>
        <v>14.6</v>
      </c>
      <c r="F934" s="99">
        <f>F938+F935+F946+F950</f>
        <v>25.1</v>
      </c>
      <c r="G934" s="99">
        <f>G938+G935+G946+G950</f>
        <v>62.4</v>
      </c>
      <c r="H934" s="99">
        <f>H938+H935+H946+H950</f>
        <v>533.9000000000001</v>
      </c>
      <c r="I934" s="275"/>
      <c r="J934" s="15"/>
      <c r="K934" s="339"/>
      <c r="L934" s="15"/>
    </row>
    <row r="935" spans="1:12" s="9" customFormat="1" ht="30" customHeight="1">
      <c r="A935" s="477" t="s">
        <v>248</v>
      </c>
      <c r="B935" s="477"/>
      <c r="C935" s="477"/>
      <c r="D935" s="141" t="s">
        <v>169</v>
      </c>
      <c r="E935" s="44">
        <v>1.6</v>
      </c>
      <c r="F935" s="44">
        <v>7.4</v>
      </c>
      <c r="G935" s="44">
        <v>13.2</v>
      </c>
      <c r="H935" s="43">
        <f>G935*4+F935*9+E935*4</f>
        <v>125.80000000000001</v>
      </c>
      <c r="I935" s="261" t="s">
        <v>249</v>
      </c>
      <c r="J935" s="15"/>
      <c r="K935" s="339"/>
      <c r="L935" s="15"/>
    </row>
    <row r="936" spans="1:12" s="9" customFormat="1" ht="30" customHeight="1">
      <c r="A936" s="53" t="s">
        <v>133</v>
      </c>
      <c r="B936" s="36">
        <v>30</v>
      </c>
      <c r="C936" s="36">
        <v>30</v>
      </c>
      <c r="D936" s="36"/>
      <c r="E936" s="95"/>
      <c r="F936" s="95"/>
      <c r="G936" s="210"/>
      <c r="H936" s="232"/>
      <c r="I936" s="275"/>
      <c r="J936" s="15"/>
      <c r="K936" s="339"/>
      <c r="L936" s="15"/>
    </row>
    <row r="937" spans="1:12" s="9" customFormat="1" ht="30" customHeight="1">
      <c r="A937" s="53" t="s">
        <v>19</v>
      </c>
      <c r="B937" s="36">
        <v>10</v>
      </c>
      <c r="C937" s="36">
        <v>10</v>
      </c>
      <c r="D937" s="36"/>
      <c r="E937" s="95"/>
      <c r="F937" s="95"/>
      <c r="G937" s="95"/>
      <c r="H937" s="87"/>
      <c r="I937" s="275"/>
      <c r="J937" s="15"/>
      <c r="K937" s="339"/>
      <c r="L937" s="15"/>
    </row>
    <row r="938" spans="1:12" s="9" customFormat="1" ht="30" customHeight="1">
      <c r="A938" s="477" t="s">
        <v>434</v>
      </c>
      <c r="B938" s="477"/>
      <c r="C938" s="477"/>
      <c r="D938" s="23">
        <v>150</v>
      </c>
      <c r="E938" s="110">
        <v>10.2</v>
      </c>
      <c r="F938" s="110">
        <v>14.6</v>
      </c>
      <c r="G938" s="110">
        <v>29.6</v>
      </c>
      <c r="H938" s="43">
        <f>G938*4+F938*9+E938*4</f>
        <v>290.6</v>
      </c>
      <c r="I938" s="235" t="s">
        <v>435</v>
      </c>
      <c r="J938" s="15"/>
      <c r="K938" s="339"/>
      <c r="L938" s="177"/>
    </row>
    <row r="939" spans="1:12" s="9" customFormat="1" ht="30" customHeight="1">
      <c r="A939" s="53" t="s">
        <v>25</v>
      </c>
      <c r="B939" s="37">
        <v>136</v>
      </c>
      <c r="C939" s="37">
        <v>134</v>
      </c>
      <c r="D939" s="456"/>
      <c r="E939" s="110"/>
      <c r="F939" s="110"/>
      <c r="G939" s="110"/>
      <c r="H939" s="256"/>
      <c r="I939" s="303"/>
      <c r="K939" s="335"/>
      <c r="L939" s="15"/>
    </row>
    <row r="940" spans="1:11" s="9" customFormat="1" ht="30" customHeight="1">
      <c r="A940" s="53" t="s">
        <v>57</v>
      </c>
      <c r="B940" s="37">
        <v>8</v>
      </c>
      <c r="C940" s="37">
        <v>8</v>
      </c>
      <c r="D940" s="456"/>
      <c r="E940" s="110"/>
      <c r="F940" s="110"/>
      <c r="G940" s="110"/>
      <c r="H940" s="256"/>
      <c r="I940" s="303"/>
      <c r="K940" s="336" t="s">
        <v>49</v>
      </c>
    </row>
    <row r="941" spans="1:12" s="9" customFormat="1" ht="30" customHeight="1">
      <c r="A941" s="57" t="s">
        <v>86</v>
      </c>
      <c r="B941" s="37">
        <v>8</v>
      </c>
      <c r="C941" s="37">
        <v>8</v>
      </c>
      <c r="D941" s="454"/>
      <c r="E941" s="296"/>
      <c r="F941" s="296"/>
      <c r="G941" s="296"/>
      <c r="H941" s="37"/>
      <c r="I941" s="387"/>
      <c r="K941" s="322" t="s">
        <v>26</v>
      </c>
      <c r="L941" s="9">
        <f>D1007</f>
        <v>50</v>
      </c>
    </row>
    <row r="942" spans="1:12" s="9" customFormat="1" ht="30" customHeight="1">
      <c r="A942" s="53" t="s">
        <v>4</v>
      </c>
      <c r="B942" s="87">
        <v>4</v>
      </c>
      <c r="C942" s="87">
        <v>4</v>
      </c>
      <c r="D942" s="454"/>
      <c r="E942" s="296"/>
      <c r="F942" s="95"/>
      <c r="G942" s="95"/>
      <c r="H942" s="87"/>
      <c r="I942" s="405"/>
      <c r="K942" s="322" t="s">
        <v>131</v>
      </c>
      <c r="L942" s="9">
        <f>D1005+C936</f>
        <v>80</v>
      </c>
    </row>
    <row r="943" spans="1:12" ht="30" customHeight="1">
      <c r="A943" s="53" t="s">
        <v>21</v>
      </c>
      <c r="B943" s="87">
        <v>10</v>
      </c>
      <c r="C943" s="87">
        <v>10</v>
      </c>
      <c r="D943" s="454"/>
      <c r="E943" s="296"/>
      <c r="F943" s="110"/>
      <c r="G943" s="110"/>
      <c r="H943" s="43"/>
      <c r="I943" s="241"/>
      <c r="K943" s="322" t="s">
        <v>161</v>
      </c>
      <c r="L943" s="62">
        <f>C986+B943</f>
        <v>14.5</v>
      </c>
    </row>
    <row r="944" spans="1:12" ht="30" customHeight="1">
      <c r="A944" s="56" t="s">
        <v>436</v>
      </c>
      <c r="B944" s="41">
        <v>20.2</v>
      </c>
      <c r="C944" s="37">
        <v>20</v>
      </c>
      <c r="D944" s="456"/>
      <c r="E944" s="36"/>
      <c r="F944" s="41"/>
      <c r="G944" s="41"/>
      <c r="H944" s="37"/>
      <c r="I944" s="387"/>
      <c r="K944" s="322" t="s">
        <v>67</v>
      </c>
      <c r="L944" s="62">
        <f>C973</f>
        <v>5</v>
      </c>
    </row>
    <row r="945" spans="1:12" s="9" customFormat="1" ht="30" customHeight="1">
      <c r="A945" s="53" t="s">
        <v>437</v>
      </c>
      <c r="B945" s="41">
        <v>2.5</v>
      </c>
      <c r="C945" s="41">
        <v>2.5</v>
      </c>
      <c r="D945" s="456"/>
      <c r="E945" s="36"/>
      <c r="F945" s="41"/>
      <c r="G945" s="41"/>
      <c r="H945" s="37"/>
      <c r="I945" s="387"/>
      <c r="K945" s="322" t="s">
        <v>66</v>
      </c>
      <c r="L945" s="17"/>
    </row>
    <row r="946" spans="1:12" s="9" customFormat="1" ht="30" customHeight="1">
      <c r="A946" s="484" t="s">
        <v>250</v>
      </c>
      <c r="B946" s="484"/>
      <c r="C946" s="484"/>
      <c r="D946" s="21" t="s">
        <v>142</v>
      </c>
      <c r="E946" s="44">
        <v>0.3</v>
      </c>
      <c r="F946" s="44">
        <v>0</v>
      </c>
      <c r="G946" s="44">
        <v>15.2</v>
      </c>
      <c r="H946" s="43">
        <f>G946*4+F946*9+E946*4</f>
        <v>62</v>
      </c>
      <c r="I946" s="261" t="s">
        <v>251</v>
      </c>
      <c r="K946" s="322" t="s">
        <v>27</v>
      </c>
      <c r="L946" s="17">
        <f>C969+C990</f>
        <v>203</v>
      </c>
    </row>
    <row r="947" spans="1:12" s="9" customFormat="1" ht="30" customHeight="1">
      <c r="A947" s="51" t="s">
        <v>114</v>
      </c>
      <c r="B947" s="5">
        <v>1</v>
      </c>
      <c r="C947" s="5">
        <v>1</v>
      </c>
      <c r="D947" s="150"/>
      <c r="E947" s="106"/>
      <c r="F947" s="106"/>
      <c r="G947" s="106"/>
      <c r="H947" s="84"/>
      <c r="I947" s="274"/>
      <c r="K947" s="322" t="s">
        <v>210</v>
      </c>
      <c r="L947" s="17">
        <f>C953+C954+C974+C976+C977+C980</f>
        <v>86.2</v>
      </c>
    </row>
    <row r="948" spans="1:12" ht="30" customHeight="1">
      <c r="A948" s="53" t="s">
        <v>4</v>
      </c>
      <c r="B948" s="29">
        <v>15</v>
      </c>
      <c r="C948" s="29">
        <v>15</v>
      </c>
      <c r="D948" s="30"/>
      <c r="E948" s="106"/>
      <c r="F948" s="106"/>
      <c r="G948" s="106"/>
      <c r="H948" s="106"/>
      <c r="I948" s="274"/>
      <c r="K948" s="322" t="s">
        <v>28</v>
      </c>
      <c r="L948" s="61">
        <f>C1001+C949</f>
        <v>31</v>
      </c>
    </row>
    <row r="949" spans="1:11" ht="30" customHeight="1">
      <c r="A949" s="53" t="s">
        <v>141</v>
      </c>
      <c r="B949" s="29">
        <v>8</v>
      </c>
      <c r="C949" s="29">
        <v>7</v>
      </c>
      <c r="D949" s="30"/>
      <c r="E949" s="106"/>
      <c r="F949" s="106"/>
      <c r="G949" s="106"/>
      <c r="H949" s="106"/>
      <c r="I949" s="274"/>
      <c r="K949" s="322" t="s">
        <v>177</v>
      </c>
    </row>
    <row r="950" spans="1:12" s="9" customFormat="1" ht="30" customHeight="1">
      <c r="A950" s="212" t="s">
        <v>378</v>
      </c>
      <c r="B950" s="29">
        <v>129</v>
      </c>
      <c r="C950" s="29">
        <v>125</v>
      </c>
      <c r="D950" s="157">
        <v>125</v>
      </c>
      <c r="E950" s="151">
        <v>2.5</v>
      </c>
      <c r="F950" s="151">
        <v>3.1</v>
      </c>
      <c r="G950" s="151">
        <v>4.4</v>
      </c>
      <c r="H950" s="43">
        <f>G950*4+F950*9+E950*4</f>
        <v>55.5</v>
      </c>
      <c r="I950" s="261" t="s">
        <v>252</v>
      </c>
      <c r="K950" s="322" t="s">
        <v>211</v>
      </c>
      <c r="L950" s="62">
        <f>B942+C948+C1003+B957</f>
        <v>36</v>
      </c>
    </row>
    <row r="951" spans="1:12" s="9" customFormat="1" ht="30" customHeight="1">
      <c r="A951" s="475" t="s">
        <v>58</v>
      </c>
      <c r="B951" s="475"/>
      <c r="C951" s="475"/>
      <c r="D951" s="262">
        <f>D952+265+95+D989+D1000</f>
        <v>770</v>
      </c>
      <c r="E951" s="99">
        <f>E952+E966+E981+E989+E1000+E1005+E1007</f>
        <v>27.95</v>
      </c>
      <c r="F951" s="99">
        <f>F952+F966+F981+F989+F1000+F1005+F1007</f>
        <v>23.55</v>
      </c>
      <c r="G951" s="99">
        <f>G952+G966+G981+G989+G1000+G1005+G1007</f>
        <v>108.35</v>
      </c>
      <c r="H951" s="96">
        <f>H952+H966+H981+H989+H1000+H1005+H1007</f>
        <v>757.15</v>
      </c>
      <c r="I951" s="275"/>
      <c r="K951" s="322" t="s">
        <v>375</v>
      </c>
      <c r="L951" s="61"/>
    </row>
    <row r="952" spans="1:12" s="9" customFormat="1" ht="30" customHeight="1">
      <c r="A952" s="482" t="s">
        <v>253</v>
      </c>
      <c r="B952" s="482"/>
      <c r="C952" s="482"/>
      <c r="D952" s="23">
        <v>60</v>
      </c>
      <c r="E952" s="110">
        <v>0.9</v>
      </c>
      <c r="F952" s="110">
        <v>3</v>
      </c>
      <c r="G952" s="110">
        <v>5.8</v>
      </c>
      <c r="H952" s="110">
        <f>E952*4+F952*9+G952*4</f>
        <v>53.8</v>
      </c>
      <c r="I952" s="241" t="s">
        <v>254</v>
      </c>
      <c r="K952" s="337" t="s">
        <v>29</v>
      </c>
      <c r="L952" s="17">
        <f>C944</f>
        <v>20</v>
      </c>
    </row>
    <row r="953" spans="1:11" s="9" customFormat="1" ht="30" customHeight="1">
      <c r="A953" s="56" t="s">
        <v>255</v>
      </c>
      <c r="B953" s="37">
        <f>C953*1.25</f>
        <v>62.5</v>
      </c>
      <c r="C953" s="36">
        <v>50</v>
      </c>
      <c r="D953" s="36"/>
      <c r="E953" s="41"/>
      <c r="F953" s="41"/>
      <c r="G953" s="41"/>
      <c r="H953" s="41"/>
      <c r="I953" s="387"/>
      <c r="K953" s="322" t="s">
        <v>71</v>
      </c>
    </row>
    <row r="954" spans="1:12" s="9" customFormat="1" ht="30" customHeight="1">
      <c r="A954" s="53" t="s">
        <v>61</v>
      </c>
      <c r="B954" s="41">
        <f>C954*1.25</f>
        <v>7.5</v>
      </c>
      <c r="C954" s="36">
        <v>6</v>
      </c>
      <c r="D954" s="36"/>
      <c r="E954" s="36"/>
      <c r="F954" s="36"/>
      <c r="G954" s="36"/>
      <c r="H954" s="36"/>
      <c r="I954" s="303"/>
      <c r="K954" s="322" t="s">
        <v>189</v>
      </c>
      <c r="L954" s="61"/>
    </row>
    <row r="955" spans="1:12" s="9" customFormat="1" ht="30" customHeight="1">
      <c r="A955" s="56" t="s">
        <v>16</v>
      </c>
      <c r="B955" s="37">
        <f>C955*1.33</f>
        <v>7.98</v>
      </c>
      <c r="C955" s="36">
        <v>6</v>
      </c>
      <c r="D955" s="36"/>
      <c r="E955" s="36"/>
      <c r="F955" s="36"/>
      <c r="G955" s="36"/>
      <c r="H955" s="41"/>
      <c r="I955" s="303"/>
      <c r="K955" s="322" t="s">
        <v>190</v>
      </c>
      <c r="L955" s="61"/>
    </row>
    <row r="956" spans="1:12" ht="30" customHeight="1">
      <c r="A956" s="496" t="s">
        <v>508</v>
      </c>
      <c r="B956" s="496"/>
      <c r="C956" s="496"/>
      <c r="D956" s="296"/>
      <c r="E956" s="296"/>
      <c r="F956" s="296"/>
      <c r="G956" s="296"/>
      <c r="H956" s="95"/>
      <c r="I956" s="295"/>
      <c r="K956" s="338" t="s">
        <v>30</v>
      </c>
      <c r="L956" s="61">
        <f>C947</f>
        <v>1</v>
      </c>
    </row>
    <row r="957" spans="1:12" ht="30" customHeight="1">
      <c r="A957" s="53" t="s">
        <v>4</v>
      </c>
      <c r="B957" s="37">
        <v>2</v>
      </c>
      <c r="C957" s="36">
        <v>2</v>
      </c>
      <c r="D957" s="36"/>
      <c r="E957" s="36"/>
      <c r="F957" s="23"/>
      <c r="G957" s="23"/>
      <c r="H957" s="110"/>
      <c r="I957" s="387"/>
      <c r="K957" s="322" t="s">
        <v>179</v>
      </c>
      <c r="L957" s="62">
        <f>C967</f>
        <v>16</v>
      </c>
    </row>
    <row r="958" spans="1:11" ht="30" customHeight="1">
      <c r="A958" s="53" t="s">
        <v>256</v>
      </c>
      <c r="B958" s="291">
        <v>0.08</v>
      </c>
      <c r="C958" s="291">
        <v>0.08</v>
      </c>
      <c r="D958" s="36"/>
      <c r="E958" s="36"/>
      <c r="F958" s="23"/>
      <c r="G958" s="23"/>
      <c r="H958" s="110"/>
      <c r="I958" s="387"/>
      <c r="K958" s="322" t="s">
        <v>181</v>
      </c>
    </row>
    <row r="959" spans="1:12" ht="30" customHeight="1">
      <c r="A959" s="53" t="s">
        <v>257</v>
      </c>
      <c r="B959" s="41">
        <v>3.8</v>
      </c>
      <c r="C959" s="36">
        <v>3.8</v>
      </c>
      <c r="D959" s="36"/>
      <c r="E959" s="36"/>
      <c r="F959" s="23"/>
      <c r="G959" s="23"/>
      <c r="H959" s="110"/>
      <c r="I959" s="387"/>
      <c r="K959" s="322" t="s">
        <v>180</v>
      </c>
      <c r="L959" s="311"/>
    </row>
    <row r="960" spans="1:12" s="9" customFormat="1" ht="30" customHeight="1">
      <c r="A960" s="53" t="s">
        <v>515</v>
      </c>
      <c r="B960" s="36">
        <v>3</v>
      </c>
      <c r="C960" s="36">
        <v>3</v>
      </c>
      <c r="D960" s="36"/>
      <c r="E960" s="41"/>
      <c r="F960" s="110"/>
      <c r="G960" s="110"/>
      <c r="H960" s="110"/>
      <c r="I960" s="387"/>
      <c r="K960" s="322" t="s">
        <v>182</v>
      </c>
      <c r="L960" s="17">
        <f>C982</f>
        <v>102</v>
      </c>
    </row>
    <row r="961" spans="1:12" ht="30" customHeight="1">
      <c r="A961" s="481" t="s">
        <v>70</v>
      </c>
      <c r="B961" s="481"/>
      <c r="C961" s="481"/>
      <c r="D961" s="481"/>
      <c r="E961" s="481"/>
      <c r="F961" s="481"/>
      <c r="G961" s="481"/>
      <c r="H961" s="481"/>
      <c r="I961" s="481"/>
      <c r="K961" s="327" t="s">
        <v>82</v>
      </c>
      <c r="L961" s="62">
        <f>C994</f>
        <v>23</v>
      </c>
    </row>
    <row r="962" spans="1:12" ht="30" customHeight="1">
      <c r="A962" s="482" t="s">
        <v>233</v>
      </c>
      <c r="B962" s="482"/>
      <c r="C962" s="482"/>
      <c r="D962" s="23">
        <v>60</v>
      </c>
      <c r="E962" s="110">
        <v>0.6</v>
      </c>
      <c r="F962" s="110">
        <v>0.2</v>
      </c>
      <c r="G962" s="110">
        <v>2.4</v>
      </c>
      <c r="H962" s="256">
        <f>E962*4+F962*9+G962*4</f>
        <v>13.8</v>
      </c>
      <c r="I962" s="290" t="s">
        <v>234</v>
      </c>
      <c r="K962" s="329" t="s">
        <v>183</v>
      </c>
      <c r="L962" s="61">
        <f>C950</f>
        <v>125</v>
      </c>
    </row>
    <row r="963" spans="1:12" ht="30" customHeight="1">
      <c r="A963" s="56" t="s">
        <v>100</v>
      </c>
      <c r="B963" s="37">
        <f>C963*1.02</f>
        <v>61.2</v>
      </c>
      <c r="C963" s="60">
        <v>60</v>
      </c>
      <c r="D963" s="233"/>
      <c r="E963" s="110"/>
      <c r="F963" s="110"/>
      <c r="G963" s="110"/>
      <c r="H963" s="23"/>
      <c r="I963" s="278"/>
      <c r="K963" s="322" t="s">
        <v>184</v>
      </c>
      <c r="L963" s="62">
        <f>B939</f>
        <v>136</v>
      </c>
    </row>
    <row r="964" spans="1:12" ht="30" customHeight="1">
      <c r="A964" s="53" t="s">
        <v>101</v>
      </c>
      <c r="B964" s="37">
        <f>C964*1.18</f>
        <v>70.8</v>
      </c>
      <c r="C964" s="60">
        <v>60</v>
      </c>
      <c r="D964" s="233"/>
      <c r="E964" s="44"/>
      <c r="F964" s="44"/>
      <c r="G964" s="44"/>
      <c r="H964" s="44"/>
      <c r="I964" s="278"/>
      <c r="K964" s="322" t="s">
        <v>31</v>
      </c>
      <c r="L964" s="62">
        <f>C979+B940</f>
        <v>13</v>
      </c>
    </row>
    <row r="965" spans="1:11" s="9" customFormat="1" ht="30" customHeight="1">
      <c r="A965" s="56" t="s">
        <v>115</v>
      </c>
      <c r="B965" s="90">
        <f>C965*1.82</f>
        <v>109.2</v>
      </c>
      <c r="C965" s="60">
        <v>60</v>
      </c>
      <c r="D965" s="233"/>
      <c r="E965" s="44"/>
      <c r="F965" s="44"/>
      <c r="G965" s="44"/>
      <c r="H965" s="44"/>
      <c r="I965" s="278"/>
      <c r="K965" s="322" t="s">
        <v>185</v>
      </c>
    </row>
    <row r="966" spans="1:12" ht="30" customHeight="1">
      <c r="A966" s="486" t="s">
        <v>258</v>
      </c>
      <c r="B966" s="478"/>
      <c r="C966" s="478"/>
      <c r="D966" s="157" t="s">
        <v>158</v>
      </c>
      <c r="E966" s="294">
        <v>4.7</v>
      </c>
      <c r="F966" s="294">
        <v>5.2</v>
      </c>
      <c r="G966" s="294">
        <v>14.4</v>
      </c>
      <c r="H966" s="43">
        <f>G966*4+F966*9+E966*4</f>
        <v>123.2</v>
      </c>
      <c r="I966" s="235" t="s">
        <v>259</v>
      </c>
      <c r="K966" s="322" t="s">
        <v>32</v>
      </c>
      <c r="L966" s="62">
        <f>C937+C978+C988+C999+C945</f>
        <v>27.5</v>
      </c>
    </row>
    <row r="967" spans="1:12" ht="30" customHeight="1">
      <c r="A967" s="86" t="s">
        <v>88</v>
      </c>
      <c r="B967" s="48">
        <f>C967*1.36</f>
        <v>21.76</v>
      </c>
      <c r="C967" s="35">
        <v>16</v>
      </c>
      <c r="D967" s="5"/>
      <c r="E967" s="296"/>
      <c r="F967" s="296"/>
      <c r="G967" s="296"/>
      <c r="H967" s="296"/>
      <c r="I967" s="274"/>
      <c r="K967" s="322" t="s">
        <v>33</v>
      </c>
      <c r="L967" s="62">
        <f>C987+C960</f>
        <v>7</v>
      </c>
    </row>
    <row r="968" spans="1:12" s="9" customFormat="1" ht="30" customHeight="1">
      <c r="A968" s="86" t="s">
        <v>89</v>
      </c>
      <c r="B968" s="48">
        <f>C968*1.18</f>
        <v>18.88</v>
      </c>
      <c r="C968" s="35">
        <v>16</v>
      </c>
      <c r="D968" s="237"/>
      <c r="E968" s="85"/>
      <c r="F968" s="85"/>
      <c r="G968" s="85"/>
      <c r="H968" s="258"/>
      <c r="I968" s="274"/>
      <c r="K968" s="322" t="s">
        <v>186</v>
      </c>
      <c r="L968" s="17">
        <f>C941</f>
        <v>8</v>
      </c>
    </row>
    <row r="969" spans="1:12" s="9" customFormat="1" ht="30" customHeight="1">
      <c r="A969" s="51" t="s">
        <v>12</v>
      </c>
      <c r="B969" s="35">
        <f>C969*1.33</f>
        <v>99.75</v>
      </c>
      <c r="C969" s="5">
        <v>75</v>
      </c>
      <c r="D969" s="36"/>
      <c r="E969" s="296"/>
      <c r="F969" s="296"/>
      <c r="G969" s="238"/>
      <c r="H969" s="238"/>
      <c r="I969" s="274"/>
      <c r="K969" s="322" t="s">
        <v>352</v>
      </c>
      <c r="L969" s="9">
        <f>C1004</f>
        <v>6</v>
      </c>
    </row>
    <row r="970" spans="1:12" s="9" customFormat="1" ht="30" customHeight="1">
      <c r="A970" s="51" t="s">
        <v>13</v>
      </c>
      <c r="B970" s="35">
        <f>C970*1.43</f>
        <v>107.25</v>
      </c>
      <c r="C970" s="5">
        <v>75</v>
      </c>
      <c r="D970" s="36"/>
      <c r="E970" s="296"/>
      <c r="F970" s="296"/>
      <c r="G970" s="238"/>
      <c r="H970" s="238"/>
      <c r="I970" s="274"/>
      <c r="K970" s="322" t="s">
        <v>188</v>
      </c>
      <c r="L970" s="15">
        <v>1.5</v>
      </c>
    </row>
    <row r="971" spans="1:12" s="9" customFormat="1" ht="30" customHeight="1">
      <c r="A971" s="53" t="s">
        <v>14</v>
      </c>
      <c r="B971" s="35">
        <f>C971*1.54</f>
        <v>115.5</v>
      </c>
      <c r="C971" s="5">
        <v>75</v>
      </c>
      <c r="D971" s="36"/>
      <c r="E971" s="296"/>
      <c r="F971" s="296"/>
      <c r="G971" s="238"/>
      <c r="H971" s="238"/>
      <c r="I971" s="274"/>
      <c r="K971" s="322" t="s">
        <v>187</v>
      </c>
      <c r="L971" s="15">
        <v>1</v>
      </c>
    </row>
    <row r="972" spans="1:11" s="9" customFormat="1" ht="30" customHeight="1">
      <c r="A972" s="53" t="s">
        <v>15</v>
      </c>
      <c r="B972" s="35">
        <f>C972*1.67</f>
        <v>125.25</v>
      </c>
      <c r="C972" s="5">
        <v>75</v>
      </c>
      <c r="D972" s="36"/>
      <c r="E972" s="296"/>
      <c r="F972" s="296"/>
      <c r="G972" s="238"/>
      <c r="H972" s="238"/>
      <c r="I972" s="274"/>
      <c r="K972" s="335"/>
    </row>
    <row r="973" spans="1:11" s="9" customFormat="1" ht="30" customHeight="1">
      <c r="A973" s="57" t="s">
        <v>124</v>
      </c>
      <c r="B973" s="5">
        <v>5</v>
      </c>
      <c r="C973" s="5">
        <v>5</v>
      </c>
      <c r="D973" s="36"/>
      <c r="E973" s="296"/>
      <c r="F973" s="296"/>
      <c r="G973" s="238"/>
      <c r="H973" s="238"/>
      <c r="I973" s="274"/>
      <c r="J973" s="61"/>
      <c r="K973" s="335"/>
    </row>
    <row r="974" spans="1:12" s="9" customFormat="1" ht="30" customHeight="1">
      <c r="A974" s="51" t="s">
        <v>61</v>
      </c>
      <c r="B974" s="5">
        <f>C974*1.25</f>
        <v>12.5</v>
      </c>
      <c r="C974" s="5">
        <v>10</v>
      </c>
      <c r="D974" s="36"/>
      <c r="E974" s="296"/>
      <c r="F974" s="296"/>
      <c r="G974" s="238"/>
      <c r="H974" s="238"/>
      <c r="I974" s="274"/>
      <c r="K974" s="335"/>
      <c r="L974" s="15"/>
    </row>
    <row r="975" spans="1:12" s="9" customFormat="1" ht="30" customHeight="1">
      <c r="A975" s="51" t="s">
        <v>16</v>
      </c>
      <c r="B975" s="40">
        <f>C975*1.33</f>
        <v>13.3</v>
      </c>
      <c r="C975" s="5">
        <v>10</v>
      </c>
      <c r="D975" s="36"/>
      <c r="E975" s="296"/>
      <c r="F975" s="296"/>
      <c r="G975" s="238"/>
      <c r="H975" s="238"/>
      <c r="I975" s="274"/>
      <c r="K975" s="335"/>
      <c r="L975" s="15"/>
    </row>
    <row r="976" spans="1:12" s="9" customFormat="1" ht="30" customHeight="1">
      <c r="A976" s="53" t="s">
        <v>18</v>
      </c>
      <c r="B976" s="37">
        <f>C976*1.19</f>
        <v>5.949999999999999</v>
      </c>
      <c r="C976" s="5">
        <v>5</v>
      </c>
      <c r="D976" s="36"/>
      <c r="E976" s="296"/>
      <c r="F976" s="296"/>
      <c r="G976" s="238"/>
      <c r="H976" s="238"/>
      <c r="I976" s="274"/>
      <c r="K976" s="335"/>
      <c r="L976" s="15"/>
    </row>
    <row r="977" spans="1:12" s="9" customFormat="1" ht="30" customHeight="1">
      <c r="A977" s="51" t="s">
        <v>112</v>
      </c>
      <c r="B977" s="35">
        <f>C977*1.82</f>
        <v>27.3</v>
      </c>
      <c r="C977" s="5">
        <v>15</v>
      </c>
      <c r="D977" s="36"/>
      <c r="E977" s="296"/>
      <c r="F977" s="296"/>
      <c r="G977" s="238"/>
      <c r="H977" s="238"/>
      <c r="I977" s="274"/>
      <c r="K977" s="335"/>
      <c r="L977" s="15"/>
    </row>
    <row r="978" spans="1:12" s="9" customFormat="1" ht="30" customHeight="1">
      <c r="A978" s="53" t="s">
        <v>19</v>
      </c>
      <c r="B978" s="5">
        <v>5</v>
      </c>
      <c r="C978" s="5">
        <v>5</v>
      </c>
      <c r="D978" s="36"/>
      <c r="E978" s="296"/>
      <c r="F978" s="296"/>
      <c r="G978" s="238"/>
      <c r="H978" s="238"/>
      <c r="I978" s="274"/>
      <c r="K978" s="335"/>
      <c r="L978" s="15"/>
    </row>
    <row r="979" spans="1:12" s="9" customFormat="1" ht="30" customHeight="1">
      <c r="A979" s="53" t="s">
        <v>57</v>
      </c>
      <c r="B979" s="36">
        <v>5</v>
      </c>
      <c r="C979" s="36">
        <v>5</v>
      </c>
      <c r="D979" s="36"/>
      <c r="E979" s="296"/>
      <c r="F979" s="296"/>
      <c r="G979" s="238"/>
      <c r="H979" s="238"/>
      <c r="I979" s="274"/>
      <c r="K979" s="335"/>
      <c r="L979" s="15"/>
    </row>
    <row r="980" spans="1:12" s="9" customFormat="1" ht="30" customHeight="1">
      <c r="A980" s="53" t="s">
        <v>73</v>
      </c>
      <c r="B980" s="40">
        <v>0.2</v>
      </c>
      <c r="C980" s="40">
        <v>0.2</v>
      </c>
      <c r="D980" s="237"/>
      <c r="E980" s="85"/>
      <c r="F980" s="85"/>
      <c r="G980" s="85"/>
      <c r="H980" s="258"/>
      <c r="I980" s="274"/>
      <c r="K980" s="335"/>
      <c r="L980" s="15"/>
    </row>
    <row r="981" spans="1:12" s="9" customFormat="1" ht="30" customHeight="1">
      <c r="A981" s="477" t="s">
        <v>260</v>
      </c>
      <c r="B981" s="478"/>
      <c r="C981" s="478"/>
      <c r="D981" s="23" t="s">
        <v>240</v>
      </c>
      <c r="E981" s="44">
        <v>14.9</v>
      </c>
      <c r="F981" s="44">
        <v>10.5</v>
      </c>
      <c r="G981" s="44">
        <v>3.6</v>
      </c>
      <c r="H981" s="43">
        <f>E981*4+F981*9+G981*4</f>
        <v>168.5</v>
      </c>
      <c r="I981" s="235" t="s">
        <v>261</v>
      </c>
      <c r="K981" s="335"/>
      <c r="L981" s="15"/>
    </row>
    <row r="982" spans="1:12" s="9" customFormat="1" ht="30" customHeight="1">
      <c r="A982" s="55" t="s">
        <v>85</v>
      </c>
      <c r="B982" s="27">
        <f>C982*1.35</f>
        <v>137.70000000000002</v>
      </c>
      <c r="C982" s="28">
        <v>102</v>
      </c>
      <c r="D982" s="36"/>
      <c r="E982" s="95"/>
      <c r="F982" s="95"/>
      <c r="G982" s="95"/>
      <c r="H982" s="296"/>
      <c r="I982" s="274"/>
      <c r="K982" s="335"/>
      <c r="L982" s="15"/>
    </row>
    <row r="983" spans="1:12" s="9" customFormat="1" ht="30" customHeight="1">
      <c r="A983" s="115" t="s">
        <v>149</v>
      </c>
      <c r="B983" s="48">
        <f>C983*1.43</f>
        <v>153.01</v>
      </c>
      <c r="C983" s="36">
        <v>107</v>
      </c>
      <c r="D983" s="36"/>
      <c r="E983" s="95"/>
      <c r="F983" s="95"/>
      <c r="G983" s="95"/>
      <c r="H983" s="95"/>
      <c r="I983" s="274"/>
      <c r="K983" s="335"/>
      <c r="L983" s="15"/>
    </row>
    <row r="984" spans="1:12" s="9" customFormat="1" ht="30" customHeight="1">
      <c r="A984" s="115" t="s">
        <v>150</v>
      </c>
      <c r="B984" s="48">
        <f>C984*1.72</f>
        <v>184.04</v>
      </c>
      <c r="C984" s="36">
        <v>107</v>
      </c>
      <c r="D984" s="36"/>
      <c r="E984" s="95"/>
      <c r="F984" s="95"/>
      <c r="G984" s="95"/>
      <c r="H984" s="296"/>
      <c r="I984" s="274"/>
      <c r="K984" s="335"/>
      <c r="L984" s="15"/>
    </row>
    <row r="985" spans="1:12" s="9" customFormat="1" ht="30" customHeight="1">
      <c r="A985" s="55" t="s">
        <v>87</v>
      </c>
      <c r="B985" s="27">
        <f>C985*1.16</f>
        <v>124.11999999999999</v>
      </c>
      <c r="C985" s="5">
        <v>107</v>
      </c>
      <c r="D985" s="36"/>
      <c r="E985" s="44"/>
      <c r="F985" s="44"/>
      <c r="G985" s="44"/>
      <c r="H985" s="43"/>
      <c r="I985" s="274"/>
      <c r="K985" s="335"/>
      <c r="L985" s="15"/>
    </row>
    <row r="986" spans="1:12" s="9" customFormat="1" ht="30" customHeight="1">
      <c r="A986" s="53" t="s">
        <v>21</v>
      </c>
      <c r="B986" s="41">
        <v>4.5</v>
      </c>
      <c r="C986" s="41">
        <v>4.5</v>
      </c>
      <c r="D986" s="36"/>
      <c r="E986" s="95"/>
      <c r="F986" s="95"/>
      <c r="G986" s="95"/>
      <c r="H986" s="296"/>
      <c r="I986" s="274"/>
      <c r="K986" s="335"/>
      <c r="L986" s="15"/>
    </row>
    <row r="987" spans="1:12" s="9" customFormat="1" ht="30" customHeight="1">
      <c r="A987" s="53" t="s">
        <v>11</v>
      </c>
      <c r="B987" s="37">
        <v>4</v>
      </c>
      <c r="C987" s="37">
        <v>4</v>
      </c>
      <c r="D987" s="36"/>
      <c r="E987" s="95"/>
      <c r="F987" s="95"/>
      <c r="G987" s="44"/>
      <c r="H987" s="294"/>
      <c r="I987" s="274"/>
      <c r="K987" s="335"/>
      <c r="L987" s="15"/>
    </row>
    <row r="988" spans="1:12" s="9" customFormat="1" ht="30" customHeight="1">
      <c r="A988" s="53" t="s">
        <v>19</v>
      </c>
      <c r="B988" s="36">
        <v>5</v>
      </c>
      <c r="C988" s="36">
        <v>5</v>
      </c>
      <c r="D988" s="36"/>
      <c r="E988" s="95"/>
      <c r="F988" s="95"/>
      <c r="G988" s="95"/>
      <c r="H988" s="296"/>
      <c r="I988" s="275"/>
      <c r="K988" s="335"/>
      <c r="L988" s="15"/>
    </row>
    <row r="989" spans="1:12" s="9" customFormat="1" ht="30" customHeight="1">
      <c r="A989" s="494" t="s">
        <v>244</v>
      </c>
      <c r="B989" s="478"/>
      <c r="C989" s="478"/>
      <c r="D989" s="39">
        <v>150</v>
      </c>
      <c r="E989" s="83">
        <v>3</v>
      </c>
      <c r="F989" s="83">
        <v>3.8</v>
      </c>
      <c r="G989" s="83">
        <v>19.3</v>
      </c>
      <c r="H989" s="43">
        <f>G989*4+F989*9+E989*4</f>
        <v>123.4</v>
      </c>
      <c r="I989" s="276" t="s">
        <v>245</v>
      </c>
      <c r="K989" s="335"/>
      <c r="L989" s="15"/>
    </row>
    <row r="990" spans="1:12" s="9" customFormat="1" ht="30" customHeight="1">
      <c r="A990" s="53" t="s">
        <v>12</v>
      </c>
      <c r="B990" s="37">
        <f>C990*1.33</f>
        <v>170.24</v>
      </c>
      <c r="C990" s="37">
        <v>128</v>
      </c>
      <c r="D990" s="36"/>
      <c r="E990" s="95"/>
      <c r="F990" s="95"/>
      <c r="G990" s="95"/>
      <c r="H990" s="236"/>
      <c r="I990" s="275"/>
      <c r="K990" s="335"/>
      <c r="L990" s="15"/>
    </row>
    <row r="991" spans="1:12" s="9" customFormat="1" ht="30" customHeight="1">
      <c r="A991" s="53" t="s">
        <v>13</v>
      </c>
      <c r="B991" s="37">
        <f>C991*1.43</f>
        <v>183.04</v>
      </c>
      <c r="C991" s="37">
        <v>128</v>
      </c>
      <c r="D991" s="36"/>
      <c r="E991" s="95"/>
      <c r="F991" s="95"/>
      <c r="G991" s="95"/>
      <c r="H991" s="296"/>
      <c r="I991" s="274"/>
      <c r="K991" s="335"/>
      <c r="L991" s="15"/>
    </row>
    <row r="992" spans="1:12" s="9" customFormat="1" ht="30" customHeight="1">
      <c r="A992" s="53" t="s">
        <v>14</v>
      </c>
      <c r="B992" s="37">
        <f>C992*1.54</f>
        <v>197.12</v>
      </c>
      <c r="C992" s="37">
        <v>128</v>
      </c>
      <c r="D992" s="36"/>
      <c r="E992" s="95"/>
      <c r="F992" s="44"/>
      <c r="G992" s="44"/>
      <c r="H992" s="294"/>
      <c r="I992" s="274"/>
      <c r="K992" s="335"/>
      <c r="L992" s="15"/>
    </row>
    <row r="993" spans="1:12" s="9" customFormat="1" ht="30" customHeight="1">
      <c r="A993" s="53" t="s">
        <v>15</v>
      </c>
      <c r="B993" s="37">
        <f>C993*1.67</f>
        <v>213.76</v>
      </c>
      <c r="C993" s="37">
        <v>128</v>
      </c>
      <c r="D993" s="36"/>
      <c r="E993" s="95"/>
      <c r="F993" s="44"/>
      <c r="G993" s="44"/>
      <c r="H993" s="294"/>
      <c r="I993" s="274"/>
      <c r="K993" s="335"/>
      <c r="L993" s="15"/>
    </row>
    <row r="994" spans="1:12" s="9" customFormat="1" ht="30" customHeight="1">
      <c r="A994" s="53" t="s">
        <v>52</v>
      </c>
      <c r="B994" s="36">
        <v>23</v>
      </c>
      <c r="C994" s="36">
        <v>23</v>
      </c>
      <c r="D994" s="36"/>
      <c r="E994" s="41"/>
      <c r="F994" s="41"/>
      <c r="G994" s="41"/>
      <c r="H994" s="36"/>
      <c r="I994" s="360"/>
      <c r="K994" s="335"/>
      <c r="L994" s="15"/>
    </row>
    <row r="995" spans="1:12" s="9" customFormat="1" ht="30" customHeight="1">
      <c r="A995" s="58" t="s">
        <v>38</v>
      </c>
      <c r="B995" s="89">
        <f>B994*460/1000</f>
        <v>10.58</v>
      </c>
      <c r="C995" s="89">
        <f>C994*460/1000</f>
        <v>10.58</v>
      </c>
      <c r="D995" s="36"/>
      <c r="E995" s="95"/>
      <c r="F995" s="95"/>
      <c r="G995" s="95"/>
      <c r="H995" s="296"/>
      <c r="I995" s="274"/>
      <c r="K995" s="335"/>
      <c r="L995" s="15"/>
    </row>
    <row r="996" spans="1:12" s="9" customFormat="1" ht="30" customHeight="1">
      <c r="A996" s="58" t="s">
        <v>39</v>
      </c>
      <c r="B996" s="89">
        <f>B994*120/1000</f>
        <v>2.76</v>
      </c>
      <c r="C996" s="89">
        <f>C994*120/1000</f>
        <v>2.76</v>
      </c>
      <c r="D996" s="36"/>
      <c r="E996" s="95"/>
      <c r="F996" s="95"/>
      <c r="G996" s="95"/>
      <c r="H996" s="296"/>
      <c r="I996" s="274"/>
      <c r="K996" s="335"/>
      <c r="L996" s="15"/>
    </row>
    <row r="997" spans="1:12" s="9" customFormat="1" ht="30" customHeight="1">
      <c r="A997" s="190" t="s">
        <v>155</v>
      </c>
      <c r="B997" s="191">
        <f>B994-B995</f>
        <v>12.42</v>
      </c>
      <c r="C997" s="191">
        <f>C994-C995</f>
        <v>12.42</v>
      </c>
      <c r="D997" s="36"/>
      <c r="E997" s="95"/>
      <c r="F997" s="95"/>
      <c r="G997" s="95"/>
      <c r="H997" s="296"/>
      <c r="I997" s="274"/>
      <c r="K997" s="335"/>
      <c r="L997" s="15"/>
    </row>
    <row r="998" spans="1:13" s="9" customFormat="1" ht="30" customHeight="1">
      <c r="A998" s="190" t="s">
        <v>156</v>
      </c>
      <c r="B998" s="191">
        <f>B994-B996</f>
        <v>20.240000000000002</v>
      </c>
      <c r="C998" s="191">
        <f>C994-C996</f>
        <v>20.240000000000002</v>
      </c>
      <c r="D998" s="36"/>
      <c r="E998" s="95"/>
      <c r="F998" s="95"/>
      <c r="G998" s="95"/>
      <c r="H998" s="296"/>
      <c r="I998" s="275"/>
      <c r="J998" s="61"/>
      <c r="K998" s="334"/>
      <c r="L998" s="70"/>
      <c r="M998" s="61"/>
    </row>
    <row r="999" spans="1:12" s="9" customFormat="1" ht="30" customHeight="1">
      <c r="A999" s="51" t="s">
        <v>19</v>
      </c>
      <c r="B999" s="35">
        <v>5</v>
      </c>
      <c r="C999" s="35">
        <v>5</v>
      </c>
      <c r="D999" s="36"/>
      <c r="E999" s="95"/>
      <c r="F999" s="95"/>
      <c r="G999" s="95"/>
      <c r="H999" s="296"/>
      <c r="I999" s="275"/>
      <c r="K999" s="335"/>
      <c r="L999" s="15"/>
    </row>
    <row r="1000" spans="1:12" s="9" customFormat="1" ht="30" customHeight="1">
      <c r="A1000" s="485" t="s">
        <v>349</v>
      </c>
      <c r="B1000" s="478"/>
      <c r="C1000" s="478"/>
      <c r="D1000" s="148">
        <v>200</v>
      </c>
      <c r="E1000" s="105">
        <v>0.2</v>
      </c>
      <c r="F1000" s="105">
        <v>0.1</v>
      </c>
      <c r="G1000" s="105">
        <v>21.5</v>
      </c>
      <c r="H1000" s="43">
        <f>G1000*4+F1000*9+E1000*4</f>
        <v>87.7</v>
      </c>
      <c r="I1000" s="276" t="s">
        <v>350</v>
      </c>
      <c r="K1000" s="335"/>
      <c r="L1000" s="15"/>
    </row>
    <row r="1001" spans="1:12" s="9" customFormat="1" ht="30" customHeight="1">
      <c r="A1001" s="56" t="s">
        <v>371</v>
      </c>
      <c r="B1001" s="181">
        <f>C1001*1.06</f>
        <v>25.44</v>
      </c>
      <c r="C1001" s="50">
        <v>24</v>
      </c>
      <c r="D1001" s="239"/>
      <c r="E1001" s="147"/>
      <c r="F1001" s="147"/>
      <c r="G1001" s="147"/>
      <c r="H1001" s="265"/>
      <c r="I1001" s="275"/>
      <c r="K1001" s="335"/>
      <c r="L1001" s="15"/>
    </row>
    <row r="1002" spans="1:12" s="9" customFormat="1" ht="30" customHeight="1">
      <c r="A1002" s="56" t="s">
        <v>369</v>
      </c>
      <c r="B1002" s="181">
        <f>C1002*1.06</f>
        <v>25.44</v>
      </c>
      <c r="C1002" s="50">
        <v>24</v>
      </c>
      <c r="D1002" s="239"/>
      <c r="E1002" s="147"/>
      <c r="F1002" s="147"/>
      <c r="G1002" s="147"/>
      <c r="H1002" s="265"/>
      <c r="I1002" s="275"/>
      <c r="K1002" s="335"/>
      <c r="L1002" s="15"/>
    </row>
    <row r="1003" spans="1:12" s="9" customFormat="1" ht="30" customHeight="1">
      <c r="A1003" s="53" t="s">
        <v>4</v>
      </c>
      <c r="B1003" s="50">
        <v>15</v>
      </c>
      <c r="C1003" s="50">
        <v>15</v>
      </c>
      <c r="D1003" s="239"/>
      <c r="E1003" s="147"/>
      <c r="F1003" s="147"/>
      <c r="G1003" s="147"/>
      <c r="H1003" s="265"/>
      <c r="I1003" s="275"/>
      <c r="K1003" s="335"/>
      <c r="L1003" s="15"/>
    </row>
    <row r="1004" spans="1:12" s="9" customFormat="1" ht="30" customHeight="1">
      <c r="A1004" s="53" t="s">
        <v>351</v>
      </c>
      <c r="B1004" s="50">
        <v>6</v>
      </c>
      <c r="C1004" s="50">
        <v>6</v>
      </c>
      <c r="D1004" s="239"/>
      <c r="E1004" s="147"/>
      <c r="F1004" s="147"/>
      <c r="G1004" s="147"/>
      <c r="H1004" s="265"/>
      <c r="I1004" s="275"/>
      <c r="K1004" s="335"/>
      <c r="L1004" s="15"/>
    </row>
    <row r="1005" spans="1:12" s="9" customFormat="1" ht="30" customHeight="1">
      <c r="A1005" s="149" t="s">
        <v>20</v>
      </c>
      <c r="B1005" s="36">
        <v>50</v>
      </c>
      <c r="C1005" s="36">
        <v>50</v>
      </c>
      <c r="D1005" s="23">
        <v>50</v>
      </c>
      <c r="E1005" s="110">
        <v>2.5</v>
      </c>
      <c r="F1005" s="110">
        <v>0.7000000000000001</v>
      </c>
      <c r="G1005" s="110">
        <v>20.25</v>
      </c>
      <c r="H1005" s="110">
        <v>97.3</v>
      </c>
      <c r="I1005" s="241"/>
      <c r="K1005" s="335"/>
      <c r="L1005" s="15"/>
    </row>
    <row r="1006" spans="1:12" s="9" customFormat="1" ht="30" customHeight="1">
      <c r="A1006" s="477" t="s">
        <v>75</v>
      </c>
      <c r="B1006" s="478"/>
      <c r="C1006" s="478"/>
      <c r="D1006" s="77">
        <v>50</v>
      </c>
      <c r="E1006" s="95"/>
      <c r="F1006" s="95"/>
      <c r="G1006" s="95"/>
      <c r="H1006" s="95"/>
      <c r="I1006" s="274"/>
      <c r="K1006" s="335"/>
      <c r="L1006" s="15"/>
    </row>
    <row r="1007" spans="1:12" s="9" customFormat="1" ht="30" customHeight="1">
      <c r="A1007" s="149" t="s">
        <v>26</v>
      </c>
      <c r="B1007" s="36">
        <v>50</v>
      </c>
      <c r="C1007" s="36">
        <v>50</v>
      </c>
      <c r="D1007" s="23">
        <v>50</v>
      </c>
      <c r="E1007" s="110">
        <v>1.75</v>
      </c>
      <c r="F1007" s="110">
        <v>0.25</v>
      </c>
      <c r="G1007" s="110">
        <v>23.5</v>
      </c>
      <c r="H1007" s="110">
        <v>103.25</v>
      </c>
      <c r="I1007" s="275"/>
      <c r="K1007" s="335"/>
      <c r="L1007" s="15"/>
    </row>
    <row r="1008" spans="1:12" s="9" customFormat="1" ht="30" customHeight="1">
      <c r="A1008" s="475" t="s">
        <v>24</v>
      </c>
      <c r="B1008" s="475"/>
      <c r="C1008" s="475"/>
      <c r="D1008" s="475"/>
      <c r="E1008" s="99">
        <f>E951+E934</f>
        <v>42.55</v>
      </c>
      <c r="F1008" s="99">
        <f>F951+F934</f>
        <v>48.650000000000006</v>
      </c>
      <c r="G1008" s="99">
        <f>G951+G934</f>
        <v>170.75</v>
      </c>
      <c r="H1008" s="96">
        <f>H951+H934</f>
        <v>1291.0500000000002</v>
      </c>
      <c r="I1008" s="274"/>
      <c r="J1008" s="61"/>
      <c r="K1008" s="334"/>
      <c r="L1008" s="15"/>
    </row>
    <row r="1009" spans="1:12" ht="30" customHeight="1">
      <c r="A1009" s="490" t="s">
        <v>107</v>
      </c>
      <c r="B1009" s="490"/>
      <c r="C1009" s="490"/>
      <c r="D1009" s="490"/>
      <c r="E1009" s="490"/>
      <c r="F1009" s="490"/>
      <c r="G1009" s="490"/>
      <c r="H1009" s="490"/>
      <c r="I1009" s="490"/>
      <c r="L1009" s="70"/>
    </row>
    <row r="1010" spans="1:12" s="9" customFormat="1" ht="30" customHeight="1">
      <c r="A1010" s="487" t="s">
        <v>0</v>
      </c>
      <c r="B1010" s="476" t="s">
        <v>6</v>
      </c>
      <c r="C1010" s="476" t="s">
        <v>7</v>
      </c>
      <c r="D1010" s="487" t="s">
        <v>5</v>
      </c>
      <c r="E1010" s="487"/>
      <c r="F1010" s="487"/>
      <c r="G1010" s="487"/>
      <c r="H1010" s="487"/>
      <c r="I1010" s="487"/>
      <c r="J1010" s="61"/>
      <c r="K1010" s="334"/>
      <c r="L1010" s="15"/>
    </row>
    <row r="1011" spans="1:12" ht="30" customHeight="1">
      <c r="A1011" s="487"/>
      <c r="B1011" s="476"/>
      <c r="C1011" s="476"/>
      <c r="D1011" s="138" t="s">
        <v>8</v>
      </c>
      <c r="E1011" s="301" t="s">
        <v>1</v>
      </c>
      <c r="F1011" s="301" t="s">
        <v>2</v>
      </c>
      <c r="G1011" s="301" t="s">
        <v>9</v>
      </c>
      <c r="H1011" s="300" t="s">
        <v>3</v>
      </c>
      <c r="I1011" s="302" t="s">
        <v>199</v>
      </c>
      <c r="L1011" s="70"/>
    </row>
    <row r="1012" spans="1:12" s="9" customFormat="1" ht="30" customHeight="1">
      <c r="A1012" s="479" t="s">
        <v>109</v>
      </c>
      <c r="B1012" s="479"/>
      <c r="C1012" s="479"/>
      <c r="D1012" s="263">
        <f>D1013+D1039+D1053+D1054</f>
        <v>650</v>
      </c>
      <c r="E1012" s="99">
        <f>E1013+E1039+E1053+E1054</f>
        <v>13.799999999999999</v>
      </c>
      <c r="F1012" s="99">
        <f>F1013+F1039+F1053+F1054</f>
        <v>17</v>
      </c>
      <c r="G1012" s="99">
        <f>G1013+G1039+G1053+G1054</f>
        <v>89.5</v>
      </c>
      <c r="H1012" s="99">
        <f>H1013+H1039+H1053+H1054</f>
        <v>570.8</v>
      </c>
      <c r="I1012" s="278"/>
      <c r="K1012" s="335"/>
      <c r="L1012" s="15"/>
    </row>
    <row r="1013" spans="1:12" s="9" customFormat="1" ht="30" customHeight="1">
      <c r="A1013" s="486" t="s">
        <v>339</v>
      </c>
      <c r="B1013" s="486"/>
      <c r="C1013" s="486"/>
      <c r="D1013" s="294">
        <v>200</v>
      </c>
      <c r="E1013" s="110">
        <v>7.8</v>
      </c>
      <c r="F1013" s="110">
        <v>8.9</v>
      </c>
      <c r="G1013" s="110">
        <v>35.1</v>
      </c>
      <c r="H1013" s="256">
        <f>E1013*4+F1013*9+G1013*4</f>
        <v>251.70000000000002</v>
      </c>
      <c r="I1013" s="235" t="s">
        <v>340</v>
      </c>
      <c r="J1013" s="61"/>
      <c r="K1013" s="334"/>
      <c r="L1013" s="15"/>
    </row>
    <row r="1014" spans="1:12" s="9" customFormat="1" ht="30" customHeight="1">
      <c r="A1014" s="52" t="s">
        <v>23</v>
      </c>
      <c r="B1014" s="37">
        <v>15</v>
      </c>
      <c r="C1014" s="37">
        <v>15</v>
      </c>
      <c r="D1014" s="256"/>
      <c r="E1014" s="41"/>
      <c r="F1014" s="41"/>
      <c r="G1014" s="41"/>
      <c r="H1014" s="291"/>
      <c r="I1014" s="275"/>
      <c r="J1014" s="61"/>
      <c r="K1014" s="334"/>
      <c r="L1014" s="15"/>
    </row>
    <row r="1015" spans="1:12" s="9" customFormat="1" ht="30" customHeight="1">
      <c r="A1015" s="52" t="s">
        <v>341</v>
      </c>
      <c r="B1015" s="37">
        <v>11</v>
      </c>
      <c r="C1015" s="37">
        <v>11</v>
      </c>
      <c r="D1015" s="256"/>
      <c r="E1015" s="41"/>
      <c r="F1015" s="41"/>
      <c r="G1015" s="41"/>
      <c r="H1015" s="291"/>
      <c r="I1015" s="275"/>
      <c r="K1015" s="335"/>
      <c r="L1015" s="15"/>
    </row>
    <row r="1016" spans="1:12" s="9" customFormat="1" ht="30" customHeight="1">
      <c r="A1016" s="53" t="s">
        <v>52</v>
      </c>
      <c r="B1016" s="37">
        <v>172</v>
      </c>
      <c r="C1016" s="37">
        <v>172</v>
      </c>
      <c r="D1016" s="256"/>
      <c r="E1016" s="110"/>
      <c r="F1016" s="110"/>
      <c r="G1016" s="110"/>
      <c r="H1016" s="110"/>
      <c r="I1016" s="275"/>
      <c r="J1016" s="61"/>
      <c r="K1016" s="334"/>
      <c r="L1016" s="15"/>
    </row>
    <row r="1017" spans="1:11" s="9" customFormat="1" ht="30" customHeight="1">
      <c r="A1017" s="388" t="s">
        <v>38</v>
      </c>
      <c r="B1017" s="389">
        <f>B1016*460/1000</f>
        <v>79.12</v>
      </c>
      <c r="C1017" s="389">
        <f>C1016*460/1000</f>
        <v>79.12</v>
      </c>
      <c r="D1017" s="256"/>
      <c r="E1017" s="110"/>
      <c r="F1017" s="110"/>
      <c r="G1017" s="110"/>
      <c r="H1017" s="256"/>
      <c r="I1017" s="275"/>
      <c r="J1017" s="61"/>
      <c r="K1017" s="336" t="s">
        <v>107</v>
      </c>
    </row>
    <row r="1018" spans="1:12" s="9" customFormat="1" ht="30" customHeight="1">
      <c r="A1018" s="388" t="s">
        <v>39</v>
      </c>
      <c r="B1018" s="389">
        <f>B1016*120/1000</f>
        <v>20.64</v>
      </c>
      <c r="C1018" s="389">
        <f>C1016*120/1000</f>
        <v>20.64</v>
      </c>
      <c r="D1018" s="256"/>
      <c r="E1018" s="110"/>
      <c r="F1018" s="110"/>
      <c r="G1018" s="110"/>
      <c r="H1018" s="256"/>
      <c r="I1018" s="278"/>
      <c r="J1018" s="61"/>
      <c r="K1018" s="322" t="s">
        <v>26</v>
      </c>
      <c r="L1018" s="9">
        <f>D1119</f>
        <v>40</v>
      </c>
    </row>
    <row r="1019" spans="1:12" s="9" customFormat="1" ht="30" customHeight="1">
      <c r="A1019" s="355" t="s">
        <v>78</v>
      </c>
      <c r="B1019" s="390">
        <f>B1016-B1017</f>
        <v>92.88</v>
      </c>
      <c r="C1019" s="390">
        <f>C1016-C1017</f>
        <v>92.88</v>
      </c>
      <c r="D1019" s="391"/>
      <c r="E1019" s="392"/>
      <c r="F1019" s="392"/>
      <c r="G1019" s="392"/>
      <c r="H1019" s="391"/>
      <c r="I1019" s="275"/>
      <c r="J1019" s="61"/>
      <c r="K1019" s="322" t="s">
        <v>131</v>
      </c>
      <c r="L1019" s="17">
        <f>D1117</f>
        <v>40</v>
      </c>
    </row>
    <row r="1020" spans="1:12" s="9" customFormat="1" ht="30" customHeight="1">
      <c r="A1020" s="355" t="s">
        <v>79</v>
      </c>
      <c r="B1020" s="390">
        <f>B1016-B1018</f>
        <v>151.36</v>
      </c>
      <c r="C1020" s="390">
        <f>C1016-C1018</f>
        <v>151.36</v>
      </c>
      <c r="D1020" s="391"/>
      <c r="E1020" s="392"/>
      <c r="F1020" s="392"/>
      <c r="G1020" s="392"/>
      <c r="H1020" s="391"/>
      <c r="I1020" s="275"/>
      <c r="J1020" s="61"/>
      <c r="K1020" s="322" t="s">
        <v>161</v>
      </c>
      <c r="L1020" s="62">
        <f>C1100+C1105+C1040</f>
        <v>59</v>
      </c>
    </row>
    <row r="1021" spans="1:12" s="9" customFormat="1" ht="30" customHeight="1">
      <c r="A1021" s="53" t="s">
        <v>4</v>
      </c>
      <c r="B1021" s="35">
        <v>6</v>
      </c>
      <c r="C1021" s="35">
        <v>6</v>
      </c>
      <c r="D1021" s="139"/>
      <c r="E1021" s="44"/>
      <c r="F1021" s="44"/>
      <c r="G1021" s="44"/>
      <c r="H1021" s="43"/>
      <c r="I1021" s="274"/>
      <c r="J1021" s="61"/>
      <c r="K1021" s="322" t="s">
        <v>67</v>
      </c>
      <c r="L1021" s="62">
        <f>C1109+C1014+C1015</f>
        <v>64</v>
      </c>
    </row>
    <row r="1022" spans="1:12" s="9" customFormat="1" ht="30" customHeight="1">
      <c r="A1022" s="53" t="s">
        <v>53</v>
      </c>
      <c r="B1022" s="35">
        <v>1</v>
      </c>
      <c r="C1022" s="35">
        <v>1</v>
      </c>
      <c r="D1022" s="139"/>
      <c r="E1022" s="44"/>
      <c r="F1022" s="44"/>
      <c r="G1022" s="44"/>
      <c r="H1022" s="43"/>
      <c r="I1022" s="275"/>
      <c r="J1022" s="61"/>
      <c r="K1022" s="322" t="s">
        <v>66</v>
      </c>
      <c r="L1022" s="62"/>
    </row>
    <row r="1023" spans="1:12" s="9" customFormat="1" ht="30" customHeight="1">
      <c r="A1023" s="51" t="s">
        <v>19</v>
      </c>
      <c r="B1023" s="5">
        <v>5</v>
      </c>
      <c r="C1023" s="5">
        <v>5</v>
      </c>
      <c r="D1023" s="21"/>
      <c r="E1023" s="44"/>
      <c r="F1023" s="44"/>
      <c r="G1023" s="44"/>
      <c r="H1023" s="43"/>
      <c r="I1023" s="275"/>
      <c r="J1023" s="61"/>
      <c r="K1023" s="322" t="s">
        <v>27</v>
      </c>
      <c r="L1023" s="62">
        <f>C1059+C1088</f>
        <v>87</v>
      </c>
    </row>
    <row r="1024" spans="1:12" s="9" customFormat="1" ht="30" customHeight="1">
      <c r="A1024" s="481" t="s">
        <v>70</v>
      </c>
      <c r="B1024" s="481"/>
      <c r="C1024" s="481"/>
      <c r="D1024" s="481"/>
      <c r="E1024" s="481"/>
      <c r="F1024" s="481"/>
      <c r="G1024" s="481"/>
      <c r="H1024" s="481"/>
      <c r="I1024" s="275"/>
      <c r="J1024" s="61"/>
      <c r="K1024" s="322" t="s">
        <v>210</v>
      </c>
      <c r="L1024" s="17">
        <f>C1063+C1065+C1067+C1092+C1094+C1097+C1068</f>
        <v>92.2</v>
      </c>
    </row>
    <row r="1025" spans="1:12" s="9" customFormat="1" ht="30" customHeight="1">
      <c r="A1025" s="486" t="s">
        <v>216</v>
      </c>
      <c r="B1025" s="486"/>
      <c r="C1025" s="486"/>
      <c r="D1025" s="294">
        <v>200</v>
      </c>
      <c r="E1025" s="110">
        <v>8.3</v>
      </c>
      <c r="F1025" s="110">
        <v>9.6</v>
      </c>
      <c r="G1025" s="110">
        <v>30.8</v>
      </c>
      <c r="H1025" s="256">
        <f>E1025*4+F1025*9+G1025*4</f>
        <v>242.8</v>
      </c>
      <c r="I1025" s="276" t="s">
        <v>217</v>
      </c>
      <c r="J1025" s="61"/>
      <c r="K1025" s="322" t="s">
        <v>28</v>
      </c>
      <c r="L1025" s="61">
        <f>D1053</f>
        <v>160</v>
      </c>
    </row>
    <row r="1026" spans="1:12" s="9" customFormat="1" ht="30" customHeight="1">
      <c r="A1026" s="54" t="s">
        <v>154</v>
      </c>
      <c r="B1026" s="90">
        <v>40</v>
      </c>
      <c r="C1026" s="90">
        <v>40</v>
      </c>
      <c r="D1026" s="36"/>
      <c r="E1026" s="41"/>
      <c r="F1026" s="41"/>
      <c r="G1026" s="41"/>
      <c r="H1026" s="36"/>
      <c r="I1026" s="275"/>
      <c r="J1026" s="61"/>
      <c r="K1026" s="322" t="s">
        <v>177</v>
      </c>
      <c r="L1026" s="17"/>
    </row>
    <row r="1027" spans="1:12" s="9" customFormat="1" ht="30" customHeight="1">
      <c r="A1027" s="56" t="s">
        <v>52</v>
      </c>
      <c r="B1027" s="90">
        <v>130</v>
      </c>
      <c r="C1027" s="90">
        <v>130</v>
      </c>
      <c r="D1027" s="36"/>
      <c r="E1027" s="41"/>
      <c r="F1027" s="41"/>
      <c r="G1027" s="41"/>
      <c r="H1027" s="36"/>
      <c r="I1027" s="275"/>
      <c r="J1027" s="61"/>
      <c r="K1027" s="322" t="s">
        <v>211</v>
      </c>
      <c r="L1027" s="17">
        <f>C1021+C1056</f>
        <v>18</v>
      </c>
    </row>
    <row r="1028" spans="1:12" s="9" customFormat="1" ht="30" customHeight="1">
      <c r="A1028" s="393" t="s">
        <v>38</v>
      </c>
      <c r="B1028" s="394">
        <f>B1027*460/1000</f>
        <v>59.8</v>
      </c>
      <c r="C1028" s="394">
        <f>C1027*460/1000</f>
        <v>59.8</v>
      </c>
      <c r="D1028" s="36"/>
      <c r="E1028" s="41"/>
      <c r="F1028" s="41"/>
      <c r="G1028" s="41"/>
      <c r="H1028" s="36"/>
      <c r="I1028" s="275"/>
      <c r="J1028" s="61"/>
      <c r="K1028" s="322" t="s">
        <v>375</v>
      </c>
      <c r="L1028" s="1">
        <f>C1112</f>
        <v>200</v>
      </c>
    </row>
    <row r="1029" spans="1:12" s="9" customFormat="1" ht="30" customHeight="1">
      <c r="A1029" s="393" t="s">
        <v>39</v>
      </c>
      <c r="B1029" s="394">
        <f>B1027*120/1000</f>
        <v>15.6</v>
      </c>
      <c r="C1029" s="394">
        <f>C1027*120/1000</f>
        <v>15.6</v>
      </c>
      <c r="D1029" s="36"/>
      <c r="E1029" s="41"/>
      <c r="F1029" s="41"/>
      <c r="G1029" s="41"/>
      <c r="H1029" s="36"/>
      <c r="I1029" s="275"/>
      <c r="J1029" s="61"/>
      <c r="K1029" s="337" t="s">
        <v>29</v>
      </c>
      <c r="L1029" s="1"/>
    </row>
    <row r="1030" spans="1:12" s="9" customFormat="1" ht="30" customHeight="1">
      <c r="A1030" s="355" t="s">
        <v>78</v>
      </c>
      <c r="B1030" s="395">
        <f>B1027-B1028</f>
        <v>70.2</v>
      </c>
      <c r="C1030" s="395">
        <f>C1027-C1028</f>
        <v>70.2</v>
      </c>
      <c r="D1030" s="36"/>
      <c r="E1030" s="396"/>
      <c r="F1030" s="396"/>
      <c r="G1030" s="396"/>
      <c r="H1030" s="397"/>
      <c r="I1030" s="275"/>
      <c r="J1030" s="61"/>
      <c r="K1030" s="322" t="s">
        <v>71</v>
      </c>
      <c r="L1030" s="72">
        <f>C1045</f>
        <v>0.45</v>
      </c>
    </row>
    <row r="1031" spans="1:12" s="9" customFormat="1" ht="30" customHeight="1">
      <c r="A1031" s="355" t="s">
        <v>79</v>
      </c>
      <c r="B1031" s="395">
        <f>B1027-B1029</f>
        <v>114.4</v>
      </c>
      <c r="C1031" s="395">
        <f>C1027-C1029</f>
        <v>114.4</v>
      </c>
      <c r="D1031" s="36"/>
      <c r="E1031" s="396"/>
      <c r="F1031" s="396"/>
      <c r="G1031" s="396"/>
      <c r="H1031" s="397"/>
      <c r="I1031" s="275"/>
      <c r="J1031" s="61"/>
      <c r="K1031" s="322" t="s">
        <v>189</v>
      </c>
      <c r="L1031" s="72"/>
    </row>
    <row r="1032" spans="1:12" s="9" customFormat="1" ht="30" customHeight="1">
      <c r="A1032" s="398" t="s">
        <v>218</v>
      </c>
      <c r="B1032" s="399"/>
      <c r="C1032" s="400">
        <v>155</v>
      </c>
      <c r="D1032" s="36"/>
      <c r="E1032" s="396"/>
      <c r="F1032" s="396"/>
      <c r="G1032" s="396"/>
      <c r="H1032" s="397"/>
      <c r="I1032" s="275"/>
      <c r="J1032" s="61"/>
      <c r="K1032" s="322" t="s">
        <v>190</v>
      </c>
      <c r="L1032" s="63"/>
    </row>
    <row r="1033" spans="1:12" s="9" customFormat="1" ht="30" customHeight="1">
      <c r="A1033" s="398" t="s">
        <v>219</v>
      </c>
      <c r="B1033" s="399"/>
      <c r="C1033" s="400">
        <v>25</v>
      </c>
      <c r="D1033" s="36"/>
      <c r="E1033" s="396"/>
      <c r="F1033" s="396"/>
      <c r="G1033" s="396"/>
      <c r="H1033" s="397"/>
      <c r="I1033" s="275"/>
      <c r="J1033" s="61"/>
      <c r="K1033" s="338" t="s">
        <v>30</v>
      </c>
      <c r="L1033" s="6">
        <f>C1055</f>
        <v>1</v>
      </c>
    </row>
    <row r="1034" spans="1:12" s="9" customFormat="1" ht="30" customHeight="1">
      <c r="A1034" s="56" t="s">
        <v>4</v>
      </c>
      <c r="B1034" s="144">
        <v>5</v>
      </c>
      <c r="C1034" s="144">
        <v>5</v>
      </c>
      <c r="D1034" s="5"/>
      <c r="E1034" s="95"/>
      <c r="F1034" s="95"/>
      <c r="G1034" s="95"/>
      <c r="H1034" s="296"/>
      <c r="I1034" s="275"/>
      <c r="J1034" s="61"/>
      <c r="K1034" s="322" t="s">
        <v>179</v>
      </c>
      <c r="L1034" s="6"/>
    </row>
    <row r="1035" spans="1:12" s="9" customFormat="1" ht="30" customHeight="1">
      <c r="A1035" s="56" t="s">
        <v>63</v>
      </c>
      <c r="B1035" s="144">
        <v>25</v>
      </c>
      <c r="C1035" s="144">
        <v>25</v>
      </c>
      <c r="D1035" s="5"/>
      <c r="E1035" s="95"/>
      <c r="F1035" s="95"/>
      <c r="G1035" s="95"/>
      <c r="H1035" s="296"/>
      <c r="I1035" s="275"/>
      <c r="J1035" s="61"/>
      <c r="K1035" s="322" t="s">
        <v>181</v>
      </c>
      <c r="L1035" s="72">
        <f>C1082</f>
        <v>26</v>
      </c>
    </row>
    <row r="1036" spans="1:12" s="9" customFormat="1" ht="30" customHeight="1">
      <c r="A1036" s="56" t="s">
        <v>220</v>
      </c>
      <c r="B1036" s="90">
        <f>C1036*1.76</f>
        <v>35.2</v>
      </c>
      <c r="C1036" s="90">
        <v>20</v>
      </c>
      <c r="D1036" s="36"/>
      <c r="E1036" s="396"/>
      <c r="F1036" s="396"/>
      <c r="G1036" s="396"/>
      <c r="H1036" s="397"/>
      <c r="I1036" s="275"/>
      <c r="J1036" s="61"/>
      <c r="K1036" s="322" t="s">
        <v>180</v>
      </c>
      <c r="L1036" s="72">
        <f>C1099</f>
        <v>93</v>
      </c>
    </row>
    <row r="1037" spans="1:12" s="9" customFormat="1" ht="30" customHeight="1">
      <c r="A1037" s="398" t="s">
        <v>221</v>
      </c>
      <c r="B1037" s="90"/>
      <c r="C1037" s="400">
        <v>44</v>
      </c>
      <c r="D1037" s="36"/>
      <c r="E1037" s="396"/>
      <c r="F1037" s="396"/>
      <c r="G1037" s="396"/>
      <c r="H1037" s="397"/>
      <c r="I1037" s="275"/>
      <c r="J1037" s="61"/>
      <c r="K1037" s="322" t="s">
        <v>182</v>
      </c>
      <c r="L1037" s="72"/>
    </row>
    <row r="1038" spans="1:12" s="9" customFormat="1" ht="30" customHeight="1">
      <c r="A1038" s="57" t="s">
        <v>19</v>
      </c>
      <c r="B1038" s="142">
        <v>5</v>
      </c>
      <c r="C1038" s="142">
        <v>5</v>
      </c>
      <c r="D1038" s="5"/>
      <c r="E1038" s="95"/>
      <c r="F1038" s="95"/>
      <c r="G1038" s="95"/>
      <c r="H1038" s="296"/>
      <c r="I1038" s="274"/>
      <c r="J1038" s="61"/>
      <c r="K1038" s="327" t="s">
        <v>82</v>
      </c>
      <c r="L1038" s="6">
        <f>C1016+C1046</f>
        <v>175.6</v>
      </c>
    </row>
    <row r="1039" spans="1:12" s="9" customFormat="1" ht="30" customHeight="1">
      <c r="A1039" s="482" t="s">
        <v>501</v>
      </c>
      <c r="B1039" s="482"/>
      <c r="C1039" s="482"/>
      <c r="D1039" s="23">
        <v>90</v>
      </c>
      <c r="E1039" s="111">
        <v>5.4</v>
      </c>
      <c r="F1039" s="111">
        <v>8</v>
      </c>
      <c r="G1039" s="111">
        <v>27.5</v>
      </c>
      <c r="H1039" s="139">
        <f>E1039*4+F1039*9+G1039*4</f>
        <v>203.6</v>
      </c>
      <c r="I1039" s="230" t="s">
        <v>418</v>
      </c>
      <c r="J1039" s="61"/>
      <c r="K1039" s="329" t="s">
        <v>183</v>
      </c>
      <c r="L1039" s="6"/>
    </row>
    <row r="1040" spans="1:12" s="9" customFormat="1" ht="30" customHeight="1">
      <c r="A1040" s="53" t="s">
        <v>21</v>
      </c>
      <c r="B1040" s="37">
        <v>54</v>
      </c>
      <c r="C1040" s="37">
        <v>54</v>
      </c>
      <c r="D1040" s="462"/>
      <c r="E1040" s="462"/>
      <c r="F1040" s="463"/>
      <c r="G1040" s="463"/>
      <c r="H1040" s="462"/>
      <c r="I1040" s="464"/>
      <c r="J1040" s="61"/>
      <c r="K1040" s="322" t="s">
        <v>184</v>
      </c>
      <c r="L1040" s="6"/>
    </row>
    <row r="1041" spans="1:12" s="9" customFormat="1" ht="30" customHeight="1">
      <c r="A1041" s="53" t="s">
        <v>98</v>
      </c>
      <c r="B1041" s="37">
        <v>19</v>
      </c>
      <c r="C1041" s="37">
        <v>18</v>
      </c>
      <c r="D1041" s="462"/>
      <c r="E1041" s="463"/>
      <c r="F1041" s="463"/>
      <c r="G1041" s="463"/>
      <c r="H1041" s="462"/>
      <c r="I1041" s="464"/>
      <c r="J1041" s="61"/>
      <c r="K1041" s="322" t="s">
        <v>31</v>
      </c>
      <c r="L1041" s="6">
        <f>C1104+C1043</f>
        <v>19</v>
      </c>
    </row>
    <row r="1042" spans="1:12" s="9" customFormat="1" ht="30" customHeight="1">
      <c r="A1042" s="53" t="s">
        <v>19</v>
      </c>
      <c r="B1042" s="37">
        <v>27</v>
      </c>
      <c r="C1042" s="37">
        <v>27</v>
      </c>
      <c r="D1042" s="462"/>
      <c r="E1042" s="462"/>
      <c r="F1042" s="41"/>
      <c r="G1042" s="41"/>
      <c r="H1042" s="37"/>
      <c r="I1042" s="230"/>
      <c r="J1042" s="61"/>
      <c r="K1042" s="322" t="s">
        <v>185</v>
      </c>
      <c r="L1042" s="6">
        <f>C1041</f>
        <v>18</v>
      </c>
    </row>
    <row r="1043" spans="1:12" s="9" customFormat="1" ht="30" customHeight="1">
      <c r="A1043" s="53" t="s">
        <v>57</v>
      </c>
      <c r="B1043" s="37">
        <v>9</v>
      </c>
      <c r="C1043" s="37">
        <v>9</v>
      </c>
      <c r="D1043" s="462"/>
      <c r="E1043" s="462"/>
      <c r="F1043" s="41"/>
      <c r="G1043" s="41"/>
      <c r="H1043" s="37"/>
      <c r="I1043" s="230"/>
      <c r="J1043" s="61"/>
      <c r="K1043" s="322" t="s">
        <v>32</v>
      </c>
      <c r="L1043" s="6">
        <f>C1023+C1111+C1107+C1095+C1042</f>
        <v>43</v>
      </c>
    </row>
    <row r="1044" spans="1:12" s="9" customFormat="1" ht="30" customHeight="1">
      <c r="A1044" s="53" t="s">
        <v>447</v>
      </c>
      <c r="B1044" s="41">
        <v>1.8</v>
      </c>
      <c r="C1044" s="41">
        <v>1.8</v>
      </c>
      <c r="D1044" s="462"/>
      <c r="E1044" s="462"/>
      <c r="F1044" s="41"/>
      <c r="G1044" s="41"/>
      <c r="H1044" s="37"/>
      <c r="I1044" s="261"/>
      <c r="J1044" s="61"/>
      <c r="K1044" s="322" t="s">
        <v>33</v>
      </c>
      <c r="L1044" s="118">
        <f>C1069+C1101+C1052</f>
        <v>7.5</v>
      </c>
    </row>
    <row r="1045" spans="1:12" s="9" customFormat="1" ht="30" customHeight="1">
      <c r="A1045" s="51" t="s">
        <v>448</v>
      </c>
      <c r="B1045" s="41">
        <f>B1044*0.25</f>
        <v>0.45</v>
      </c>
      <c r="C1045" s="41">
        <f>C1044*0.25</f>
        <v>0.45</v>
      </c>
      <c r="D1045" s="462"/>
      <c r="E1045" s="462"/>
      <c r="F1045" s="41"/>
      <c r="G1045" s="41"/>
      <c r="H1045" s="37"/>
      <c r="I1045" s="230"/>
      <c r="J1045" s="61"/>
      <c r="K1045" s="322" t="s">
        <v>186</v>
      </c>
      <c r="L1045" s="6">
        <f>B941+C1096+C1051</f>
        <v>22.5</v>
      </c>
    </row>
    <row r="1046" spans="1:12" s="9" customFormat="1" ht="30" customHeight="1">
      <c r="A1046" s="53" t="s">
        <v>52</v>
      </c>
      <c r="B1046" s="41">
        <v>3.6</v>
      </c>
      <c r="C1046" s="41">
        <v>3.6</v>
      </c>
      <c r="D1046" s="462"/>
      <c r="E1046" s="462"/>
      <c r="F1046" s="462"/>
      <c r="G1046" s="462"/>
      <c r="H1046" s="462"/>
      <c r="I1046" s="465"/>
      <c r="J1046" s="61"/>
      <c r="K1046" s="322" t="s">
        <v>352</v>
      </c>
      <c r="L1046" s="15"/>
    </row>
    <row r="1047" spans="1:12" s="9" customFormat="1" ht="30" customHeight="1">
      <c r="A1047" s="58" t="s">
        <v>38</v>
      </c>
      <c r="B1047" s="89">
        <f>B1046*460/1000</f>
        <v>1.656</v>
      </c>
      <c r="C1047" s="89">
        <f>C1046*460/1000</f>
        <v>1.656</v>
      </c>
      <c r="D1047" s="462"/>
      <c r="E1047" s="462"/>
      <c r="F1047" s="462"/>
      <c r="G1047" s="462"/>
      <c r="H1047" s="462"/>
      <c r="I1047" s="464"/>
      <c r="J1047" s="61"/>
      <c r="K1047" s="322" t="s">
        <v>188</v>
      </c>
      <c r="L1047" s="15">
        <v>1.5</v>
      </c>
    </row>
    <row r="1048" spans="1:12" s="9" customFormat="1" ht="30" customHeight="1">
      <c r="A1048" s="58" t="s">
        <v>39</v>
      </c>
      <c r="B1048" s="466">
        <f>B1046*120/1000</f>
        <v>0.432</v>
      </c>
      <c r="C1048" s="466">
        <f>C1046*120/1000</f>
        <v>0.432</v>
      </c>
      <c r="D1048" s="462"/>
      <c r="E1048" s="462"/>
      <c r="F1048" s="462"/>
      <c r="G1048" s="462"/>
      <c r="H1048" s="462"/>
      <c r="I1048" s="464"/>
      <c r="J1048" s="61"/>
      <c r="K1048" s="322" t="s">
        <v>187</v>
      </c>
      <c r="L1048" s="15">
        <v>1</v>
      </c>
    </row>
    <row r="1049" spans="1:12" s="9" customFormat="1" ht="30" customHeight="1">
      <c r="A1049" s="190" t="s">
        <v>155</v>
      </c>
      <c r="B1049" s="191">
        <f>B1046-B1047</f>
        <v>1.9440000000000002</v>
      </c>
      <c r="C1049" s="191">
        <f>C1046-C1047</f>
        <v>1.9440000000000002</v>
      </c>
      <c r="D1049" s="462"/>
      <c r="E1049" s="462"/>
      <c r="F1049" s="462"/>
      <c r="G1049" s="462"/>
      <c r="H1049" s="462"/>
      <c r="I1049" s="464"/>
      <c r="J1049" s="61"/>
      <c r="K1049" s="334"/>
      <c r="L1049" s="15"/>
    </row>
    <row r="1050" spans="1:12" s="9" customFormat="1" ht="30" customHeight="1">
      <c r="A1050" s="190" t="s">
        <v>156</v>
      </c>
      <c r="B1050" s="191">
        <f>B1046-B1048</f>
        <v>3.168</v>
      </c>
      <c r="C1050" s="191">
        <f>C1046-C1048</f>
        <v>3.168</v>
      </c>
      <c r="D1050" s="462"/>
      <c r="E1050" s="462"/>
      <c r="F1050" s="462"/>
      <c r="G1050" s="462"/>
      <c r="H1050" s="462"/>
      <c r="I1050" s="464"/>
      <c r="J1050" s="61"/>
      <c r="K1050" s="334"/>
      <c r="L1050" s="15"/>
    </row>
    <row r="1051" spans="1:12" s="9" customFormat="1" ht="30" customHeight="1">
      <c r="A1051" s="53" t="s">
        <v>449</v>
      </c>
      <c r="B1051" s="41">
        <v>4.5</v>
      </c>
      <c r="C1051" s="41">
        <v>4.5</v>
      </c>
      <c r="D1051" s="462"/>
      <c r="E1051" s="462"/>
      <c r="F1051" s="462"/>
      <c r="G1051" s="462"/>
      <c r="H1051" s="462"/>
      <c r="I1051" s="465"/>
      <c r="J1051" s="61"/>
      <c r="K1051" s="334"/>
      <c r="L1051" s="15"/>
    </row>
    <row r="1052" spans="1:12" s="9" customFormat="1" ht="30" customHeight="1">
      <c r="A1052" s="53" t="s">
        <v>167</v>
      </c>
      <c r="B1052" s="41">
        <v>0.5</v>
      </c>
      <c r="C1052" s="41">
        <v>0.5</v>
      </c>
      <c r="D1052" s="462"/>
      <c r="E1052" s="462"/>
      <c r="F1052" s="462"/>
      <c r="G1052" s="462"/>
      <c r="H1052" s="462"/>
      <c r="I1052" s="464"/>
      <c r="J1052" s="61"/>
      <c r="K1052" s="334"/>
      <c r="L1052" s="15"/>
    </row>
    <row r="1053" spans="1:12" s="9" customFormat="1" ht="30" customHeight="1">
      <c r="A1053" s="482" t="s">
        <v>96</v>
      </c>
      <c r="B1053" s="478"/>
      <c r="C1053" s="478"/>
      <c r="D1053" s="26">
        <v>160</v>
      </c>
      <c r="E1053" s="45">
        <v>0.4</v>
      </c>
      <c r="F1053" s="45">
        <v>0.1</v>
      </c>
      <c r="G1053" s="45">
        <v>15</v>
      </c>
      <c r="H1053" s="43">
        <f>E1053*4+F1053*9+G1053*4</f>
        <v>62.5</v>
      </c>
      <c r="I1053" s="276" t="s">
        <v>215</v>
      </c>
      <c r="J1053" s="61"/>
      <c r="K1053" s="334"/>
      <c r="L1053" s="15"/>
    </row>
    <row r="1054" spans="1:12" s="9" customFormat="1" ht="30" customHeight="1">
      <c r="A1054" s="484" t="s">
        <v>236</v>
      </c>
      <c r="B1054" s="484"/>
      <c r="C1054" s="484"/>
      <c r="D1054" s="21">
        <v>200</v>
      </c>
      <c r="E1054" s="21">
        <v>0.2</v>
      </c>
      <c r="F1054" s="111">
        <v>0</v>
      </c>
      <c r="G1054" s="21">
        <v>11.9</v>
      </c>
      <c r="H1054" s="21">
        <v>53</v>
      </c>
      <c r="I1054" s="276" t="s">
        <v>237</v>
      </c>
      <c r="J1054" s="61"/>
      <c r="K1054" s="334"/>
      <c r="L1054" s="15"/>
    </row>
    <row r="1055" spans="1:12" s="9" customFormat="1" ht="30" customHeight="1">
      <c r="A1055" s="51" t="s">
        <v>114</v>
      </c>
      <c r="B1055" s="5">
        <v>1</v>
      </c>
      <c r="C1055" s="5">
        <v>1</v>
      </c>
      <c r="D1055" s="5"/>
      <c r="E1055" s="5"/>
      <c r="F1055" s="5"/>
      <c r="G1055" s="5"/>
      <c r="H1055" s="5"/>
      <c r="I1055" s="275"/>
      <c r="J1055" s="61"/>
      <c r="K1055" s="334"/>
      <c r="L1055" s="15"/>
    </row>
    <row r="1056" spans="1:12" s="9" customFormat="1" ht="30" customHeight="1">
      <c r="A1056" s="51" t="s">
        <v>4</v>
      </c>
      <c r="B1056" s="5">
        <v>12</v>
      </c>
      <c r="C1056" s="5">
        <v>12</v>
      </c>
      <c r="D1056" s="5"/>
      <c r="E1056" s="5"/>
      <c r="F1056" s="5"/>
      <c r="G1056" s="43"/>
      <c r="H1056" s="294"/>
      <c r="I1056" s="275"/>
      <c r="J1056" s="61"/>
      <c r="K1056" s="334"/>
      <c r="L1056" s="15"/>
    </row>
    <row r="1057" spans="1:12" s="9" customFormat="1" ht="30" customHeight="1">
      <c r="A1057" s="479" t="s">
        <v>58</v>
      </c>
      <c r="B1057" s="479"/>
      <c r="C1057" s="479"/>
      <c r="D1057" s="263">
        <f>D1058+260+D1098+D1108+D1112</f>
        <v>770</v>
      </c>
      <c r="E1057" s="99">
        <f>E1058+E1081+E1098+E1108+E1112+E1117+E1119</f>
        <v>25.41666666666666</v>
      </c>
      <c r="F1057" s="99">
        <f>F1058+F1081+F1098+F1108+F1112+F1117+F1119</f>
        <v>25.174999999999997</v>
      </c>
      <c r="G1057" s="99">
        <f>G1058+G1081+G1098+G1108+G1112+G1117+G1119</f>
        <v>98.11666666666666</v>
      </c>
      <c r="H1057" s="99">
        <f>H1058+H1081+H1098+H1108+H1112+H1117+H1119</f>
        <v>718.4416666666666</v>
      </c>
      <c r="I1057" s="275"/>
      <c r="J1057" s="61"/>
      <c r="K1057" s="334"/>
      <c r="L1057" s="15"/>
    </row>
    <row r="1058" spans="1:12" s="9" customFormat="1" ht="30" customHeight="1">
      <c r="A1058" s="486" t="s">
        <v>509</v>
      </c>
      <c r="B1058" s="486"/>
      <c r="C1058" s="486"/>
      <c r="D1058" s="23">
        <v>60</v>
      </c>
      <c r="E1058" s="44">
        <v>1.05</v>
      </c>
      <c r="F1058" s="44">
        <v>3.0749999999999997</v>
      </c>
      <c r="G1058" s="44">
        <v>3.45</v>
      </c>
      <c r="H1058" s="257">
        <v>45.675</v>
      </c>
      <c r="I1058" s="471" t="s">
        <v>510</v>
      </c>
      <c r="J1058" s="61"/>
      <c r="K1058" s="334"/>
      <c r="L1058" s="15"/>
    </row>
    <row r="1059" spans="1:12" s="9" customFormat="1" ht="30" customHeight="1">
      <c r="A1059" s="51" t="s">
        <v>12</v>
      </c>
      <c r="B1059" s="22">
        <f>C1059*1.33</f>
        <v>15.96</v>
      </c>
      <c r="C1059" s="35">
        <v>12</v>
      </c>
      <c r="D1059" s="36"/>
      <c r="E1059" s="95"/>
      <c r="F1059" s="95"/>
      <c r="G1059" s="95"/>
      <c r="H1059" s="296"/>
      <c r="I1059" s="274"/>
      <c r="J1059" s="61"/>
      <c r="K1059" s="334"/>
      <c r="L1059" s="15"/>
    </row>
    <row r="1060" spans="1:12" s="9" customFormat="1" ht="30" customHeight="1">
      <c r="A1060" s="51" t="s">
        <v>13</v>
      </c>
      <c r="B1060" s="22">
        <f>C1060*1.43</f>
        <v>17.16</v>
      </c>
      <c r="C1060" s="35">
        <v>12</v>
      </c>
      <c r="D1060" s="36"/>
      <c r="E1060" s="95"/>
      <c r="F1060" s="95"/>
      <c r="G1060" s="95"/>
      <c r="H1060" s="95"/>
      <c r="I1060" s="275"/>
      <c r="J1060" s="61"/>
      <c r="K1060" s="334"/>
      <c r="L1060" s="15"/>
    </row>
    <row r="1061" spans="1:9" s="9" customFormat="1" ht="30" customHeight="1">
      <c r="A1061" s="53" t="s">
        <v>14</v>
      </c>
      <c r="B1061" s="22">
        <f>C1061*1.54</f>
        <v>18.48</v>
      </c>
      <c r="C1061" s="35">
        <v>12</v>
      </c>
      <c r="D1061" s="36"/>
      <c r="E1061" s="95"/>
      <c r="F1061" s="95"/>
      <c r="G1061" s="95"/>
      <c r="H1061" s="43"/>
      <c r="I1061" s="275"/>
    </row>
    <row r="1062" spans="1:9" s="9" customFormat="1" ht="30" customHeight="1">
      <c r="A1062" s="53" t="s">
        <v>15</v>
      </c>
      <c r="B1062" s="22">
        <f>C1062*1.67</f>
        <v>20.04</v>
      </c>
      <c r="C1062" s="35">
        <v>12</v>
      </c>
      <c r="D1062" s="36"/>
      <c r="E1062" s="95"/>
      <c r="F1062" s="95"/>
      <c r="G1062" s="95"/>
      <c r="H1062" s="43"/>
      <c r="I1062" s="275"/>
    </row>
    <row r="1063" spans="1:9" s="9" customFormat="1" ht="30" customHeight="1">
      <c r="A1063" s="51" t="s">
        <v>17</v>
      </c>
      <c r="B1063" s="40">
        <f>C1063*1.25</f>
        <v>12.5</v>
      </c>
      <c r="C1063" s="35">
        <v>10</v>
      </c>
      <c r="D1063" s="36"/>
      <c r="E1063" s="95"/>
      <c r="F1063" s="95"/>
      <c r="G1063" s="95"/>
      <c r="H1063" s="95"/>
      <c r="I1063" s="274"/>
    </row>
    <row r="1064" spans="1:9" s="9" customFormat="1" ht="30" customHeight="1">
      <c r="A1064" s="51" t="s">
        <v>16</v>
      </c>
      <c r="B1064" s="40">
        <f>C1064*1.33</f>
        <v>13.3</v>
      </c>
      <c r="C1064" s="35">
        <v>10</v>
      </c>
      <c r="D1064" s="36"/>
      <c r="E1064" s="95"/>
      <c r="F1064" s="95"/>
      <c r="G1064" s="95"/>
      <c r="H1064" s="87"/>
      <c r="I1064" s="274"/>
    </row>
    <row r="1065" spans="1:9" s="9" customFormat="1" ht="30" customHeight="1">
      <c r="A1065" s="51" t="s">
        <v>61</v>
      </c>
      <c r="B1065" s="40">
        <f>C1065*1.25</f>
        <v>12.5</v>
      </c>
      <c r="C1065" s="35">
        <v>10</v>
      </c>
      <c r="D1065" s="36"/>
      <c r="E1065" s="95"/>
      <c r="F1065" s="95"/>
      <c r="G1065" s="95"/>
      <c r="H1065" s="95"/>
      <c r="I1065" s="274"/>
    </row>
    <row r="1066" spans="1:9" s="9" customFormat="1" ht="30" customHeight="1">
      <c r="A1066" s="51" t="s">
        <v>16</v>
      </c>
      <c r="B1066" s="40">
        <f>C1066*1.33</f>
        <v>13.3</v>
      </c>
      <c r="C1066" s="35">
        <v>10</v>
      </c>
      <c r="D1066" s="36"/>
      <c r="E1066" s="95"/>
      <c r="F1066" s="95"/>
      <c r="G1066" s="95"/>
      <c r="H1066" s="87"/>
      <c r="I1066" s="274"/>
    </row>
    <row r="1067" spans="1:9" s="9" customFormat="1" ht="30" customHeight="1">
      <c r="A1067" s="51" t="s">
        <v>112</v>
      </c>
      <c r="B1067" s="35">
        <f>C1067*1.82</f>
        <v>21.84</v>
      </c>
      <c r="C1067" s="35">
        <v>12</v>
      </c>
      <c r="D1067" s="36"/>
      <c r="E1067" s="95"/>
      <c r="F1067" s="95"/>
      <c r="G1067" s="95"/>
      <c r="H1067" s="87"/>
      <c r="I1067" s="274"/>
    </row>
    <row r="1068" spans="1:9" s="9" customFormat="1" ht="30" customHeight="1">
      <c r="A1068" s="57" t="s">
        <v>168</v>
      </c>
      <c r="B1068" s="35">
        <f>C1068*1.67</f>
        <v>33.4</v>
      </c>
      <c r="C1068" s="35">
        <v>20</v>
      </c>
      <c r="D1068" s="36"/>
      <c r="E1068" s="95"/>
      <c r="F1068" s="95"/>
      <c r="G1068" s="95"/>
      <c r="H1068" s="87"/>
      <c r="I1068" s="274"/>
    </row>
    <row r="1069" spans="1:9" s="9" customFormat="1" ht="30" customHeight="1">
      <c r="A1069" s="53" t="s">
        <v>123</v>
      </c>
      <c r="B1069" s="36">
        <v>3</v>
      </c>
      <c r="C1069" s="36">
        <v>3</v>
      </c>
      <c r="D1069" s="36"/>
      <c r="E1069" s="95"/>
      <c r="F1069" s="95"/>
      <c r="G1069" s="44"/>
      <c r="H1069" s="294"/>
      <c r="I1069" s="274"/>
    </row>
    <row r="1070" spans="1:9" s="9" customFormat="1" ht="30" customHeight="1">
      <c r="A1070" s="481" t="s">
        <v>70</v>
      </c>
      <c r="B1070" s="481"/>
      <c r="C1070" s="481"/>
      <c r="D1070" s="481"/>
      <c r="E1070" s="481"/>
      <c r="F1070" s="481"/>
      <c r="G1070" s="481"/>
      <c r="H1070" s="481"/>
      <c r="I1070" s="481"/>
    </row>
    <row r="1071" spans="1:9" s="9" customFormat="1" ht="30" customHeight="1">
      <c r="A1071" s="482" t="s">
        <v>343</v>
      </c>
      <c r="B1071" s="499"/>
      <c r="C1071" s="499"/>
      <c r="D1071" s="23">
        <v>60</v>
      </c>
      <c r="E1071" s="44">
        <v>0.84</v>
      </c>
      <c r="F1071" s="44">
        <v>3.12</v>
      </c>
      <c r="G1071" s="44">
        <v>3.6</v>
      </c>
      <c r="H1071" s="43">
        <f>G1071*4+F1071*9+E1071*4</f>
        <v>45.84</v>
      </c>
      <c r="I1071" s="210" t="s">
        <v>344</v>
      </c>
    </row>
    <row r="1072" spans="1:9" s="9" customFormat="1" ht="30" customHeight="1">
      <c r="A1072" s="57" t="s">
        <v>100</v>
      </c>
      <c r="B1072" s="143">
        <f>C1072*1.02</f>
        <v>15.3</v>
      </c>
      <c r="C1072" s="144">
        <v>15</v>
      </c>
      <c r="D1072" s="36"/>
      <c r="E1072" s="95"/>
      <c r="F1072" s="95"/>
      <c r="G1072" s="95"/>
      <c r="H1072" s="95"/>
      <c r="I1072" s="279"/>
    </row>
    <row r="1073" spans="1:9" s="9" customFormat="1" ht="30" customHeight="1">
      <c r="A1073" s="56" t="s">
        <v>101</v>
      </c>
      <c r="B1073" s="144">
        <f>C1073*1.18</f>
        <v>17.7</v>
      </c>
      <c r="C1073" s="144">
        <v>15</v>
      </c>
      <c r="D1073" s="36"/>
      <c r="E1073" s="95"/>
      <c r="F1073" s="95"/>
      <c r="G1073" s="95"/>
      <c r="H1073" s="95"/>
      <c r="I1073" s="279"/>
    </row>
    <row r="1074" spans="1:9" s="9" customFormat="1" ht="30" customHeight="1">
      <c r="A1074" s="57" t="s">
        <v>345</v>
      </c>
      <c r="B1074" s="143">
        <f>C1074*1.02</f>
        <v>14.280000000000001</v>
      </c>
      <c r="C1074" s="144">
        <v>14</v>
      </c>
      <c r="D1074" s="36"/>
      <c r="E1074" s="95"/>
      <c r="F1074" s="95"/>
      <c r="G1074" s="95"/>
      <c r="H1074" s="95"/>
      <c r="I1074" s="279"/>
    </row>
    <row r="1075" spans="1:9" s="9" customFormat="1" ht="30" customHeight="1">
      <c r="A1075" s="57" t="s">
        <v>346</v>
      </c>
      <c r="B1075" s="144">
        <f>C1075*1.05</f>
        <v>14.700000000000001</v>
      </c>
      <c r="C1075" s="144">
        <v>14</v>
      </c>
      <c r="D1075" s="36"/>
      <c r="E1075" s="95"/>
      <c r="F1075" s="95"/>
      <c r="G1075" s="95"/>
      <c r="H1075" s="87"/>
      <c r="I1075" s="279"/>
    </row>
    <row r="1076" spans="1:9" s="9" customFormat="1" ht="30" customHeight="1">
      <c r="A1076" s="57" t="s">
        <v>347</v>
      </c>
      <c r="B1076" s="143">
        <f>C1076*1.33</f>
        <v>9.31</v>
      </c>
      <c r="C1076" s="144">
        <v>7</v>
      </c>
      <c r="D1076" s="36"/>
      <c r="E1076" s="95"/>
      <c r="F1076" s="95"/>
      <c r="G1076" s="95"/>
      <c r="H1076" s="87"/>
      <c r="I1076" s="210"/>
    </row>
    <row r="1077" spans="1:9" s="9" customFormat="1" ht="30" customHeight="1">
      <c r="A1077" s="57" t="s">
        <v>56</v>
      </c>
      <c r="B1077" s="144">
        <f>C1077*1.25</f>
        <v>26.25</v>
      </c>
      <c r="C1077" s="144">
        <v>21</v>
      </c>
      <c r="D1077" s="36"/>
      <c r="E1077" s="95"/>
      <c r="F1077" s="95"/>
      <c r="G1077" s="95"/>
      <c r="H1077" s="87"/>
      <c r="I1077" s="210"/>
    </row>
    <row r="1078" spans="1:9" s="9" customFormat="1" ht="30" customHeight="1">
      <c r="A1078" s="57" t="s">
        <v>348</v>
      </c>
      <c r="B1078" s="143">
        <v>0.5</v>
      </c>
      <c r="C1078" s="143">
        <v>0.5</v>
      </c>
      <c r="D1078" s="36"/>
      <c r="E1078" s="95"/>
      <c r="F1078" s="95"/>
      <c r="G1078" s="95"/>
      <c r="H1078" s="87"/>
      <c r="I1078" s="210"/>
    </row>
    <row r="1079" spans="1:11" s="9" customFormat="1" ht="30" customHeight="1">
      <c r="A1079" s="57" t="s">
        <v>4</v>
      </c>
      <c r="B1079" s="143">
        <v>0.6</v>
      </c>
      <c r="C1079" s="143">
        <v>0.6</v>
      </c>
      <c r="D1079" s="36"/>
      <c r="E1079" s="95"/>
      <c r="F1079" s="95"/>
      <c r="G1079" s="95"/>
      <c r="H1079" s="87"/>
      <c r="I1079" s="210"/>
      <c r="K1079" s="335"/>
    </row>
    <row r="1080" spans="1:11" s="9" customFormat="1" ht="30" customHeight="1">
      <c r="A1080" s="56" t="s">
        <v>123</v>
      </c>
      <c r="B1080" s="60">
        <v>3</v>
      </c>
      <c r="C1080" s="60">
        <v>3</v>
      </c>
      <c r="D1080" s="36"/>
      <c r="E1080" s="95"/>
      <c r="F1080" s="95"/>
      <c r="G1080" s="44"/>
      <c r="H1080" s="294"/>
      <c r="I1080" s="210"/>
      <c r="K1080" s="335"/>
    </row>
    <row r="1081" spans="1:11" s="9" customFormat="1" ht="30" customHeight="1">
      <c r="A1081" s="482" t="s">
        <v>467</v>
      </c>
      <c r="B1081" s="482"/>
      <c r="C1081" s="482"/>
      <c r="D1081" s="23" t="s">
        <v>65</v>
      </c>
      <c r="E1081" s="44">
        <v>7.3</v>
      </c>
      <c r="F1081" s="44">
        <v>8.3</v>
      </c>
      <c r="G1081" s="44">
        <v>11.2</v>
      </c>
      <c r="H1081" s="43">
        <f>G1081*4+F1081*9+E1081*4</f>
        <v>148.7</v>
      </c>
      <c r="I1081" s="235" t="s">
        <v>465</v>
      </c>
      <c r="K1081" s="335"/>
    </row>
    <row r="1082" spans="1:11" s="9" customFormat="1" ht="30" customHeight="1">
      <c r="A1082" s="55" t="s">
        <v>113</v>
      </c>
      <c r="B1082" s="27">
        <v>29</v>
      </c>
      <c r="C1082" s="35">
        <v>26</v>
      </c>
      <c r="D1082" s="5"/>
      <c r="E1082" s="40"/>
      <c r="F1082" s="40"/>
      <c r="G1082" s="40"/>
      <c r="H1082" s="87"/>
      <c r="I1082" s="235"/>
      <c r="K1082" s="335"/>
    </row>
    <row r="1083" spans="1:11" s="9" customFormat="1" ht="30" customHeight="1">
      <c r="A1083" s="115" t="s">
        <v>128</v>
      </c>
      <c r="B1083" s="48">
        <f>C1083*1.04</f>
        <v>18.72</v>
      </c>
      <c r="C1083" s="35">
        <v>18</v>
      </c>
      <c r="D1083" s="5"/>
      <c r="E1083" s="40"/>
      <c r="F1083" s="40"/>
      <c r="G1083" s="40"/>
      <c r="H1083" s="87"/>
      <c r="I1083" s="235"/>
      <c r="K1083" s="335"/>
    </row>
    <row r="1084" spans="1:11" s="9" customFormat="1" ht="30" customHeight="1">
      <c r="A1084" s="115" t="s">
        <v>130</v>
      </c>
      <c r="B1084" s="48">
        <f>C1084*1.048</f>
        <v>14.672</v>
      </c>
      <c r="C1084" s="146">
        <v>14</v>
      </c>
      <c r="D1084" s="5"/>
      <c r="E1084" s="40"/>
      <c r="F1084" s="40"/>
      <c r="G1084" s="40"/>
      <c r="H1084" s="87"/>
      <c r="I1084" s="235"/>
      <c r="J1084" s="61"/>
      <c r="K1084" s="335"/>
    </row>
    <row r="1085" spans="1:11" s="9" customFormat="1" ht="30" customHeight="1">
      <c r="A1085" s="482" t="s">
        <v>466</v>
      </c>
      <c r="B1085" s="482"/>
      <c r="C1085" s="482"/>
      <c r="D1085" s="23" t="s">
        <v>65</v>
      </c>
      <c r="E1085" s="44">
        <v>6.7</v>
      </c>
      <c r="F1085" s="44">
        <v>7.6</v>
      </c>
      <c r="G1085" s="44">
        <v>11.2</v>
      </c>
      <c r="H1085" s="43">
        <f>G1085*4+F1085*9+E1085*4</f>
        <v>140</v>
      </c>
      <c r="I1085" s="235" t="s">
        <v>465</v>
      </c>
      <c r="J1085" s="61"/>
      <c r="K1085" s="335"/>
    </row>
    <row r="1086" spans="1:11" s="9" customFormat="1" ht="30" customHeight="1">
      <c r="A1086" s="86" t="s">
        <v>88</v>
      </c>
      <c r="B1086" s="27">
        <f>C1086*1.36</f>
        <v>21.76</v>
      </c>
      <c r="C1086" s="5">
        <v>16</v>
      </c>
      <c r="D1086" s="5"/>
      <c r="E1086" s="40"/>
      <c r="F1086" s="40"/>
      <c r="G1086" s="40"/>
      <c r="H1086" s="87"/>
      <c r="I1086" s="235"/>
      <c r="J1086" s="61"/>
      <c r="K1086" s="335"/>
    </row>
    <row r="1087" spans="1:11" s="9" customFormat="1" ht="30" customHeight="1">
      <c r="A1087" s="86" t="s">
        <v>89</v>
      </c>
      <c r="B1087" s="27">
        <f>C1087*1.18</f>
        <v>18.88</v>
      </c>
      <c r="C1087" s="5">
        <v>16</v>
      </c>
      <c r="D1087" s="5"/>
      <c r="E1087" s="40"/>
      <c r="F1087" s="40"/>
      <c r="G1087" s="40"/>
      <c r="H1087" s="87"/>
      <c r="I1087" s="235"/>
      <c r="J1087" s="61"/>
      <c r="K1087" s="335"/>
    </row>
    <row r="1088" spans="1:11" s="9" customFormat="1" ht="30" customHeight="1">
      <c r="A1088" s="53" t="s">
        <v>12</v>
      </c>
      <c r="B1088" s="37">
        <f>C1088*1.33</f>
        <v>99.75</v>
      </c>
      <c r="C1088" s="36">
        <v>75</v>
      </c>
      <c r="D1088" s="36"/>
      <c r="E1088" s="95"/>
      <c r="F1088" s="95"/>
      <c r="G1088" s="95"/>
      <c r="H1088" s="87"/>
      <c r="I1088" s="235"/>
      <c r="J1088" s="61"/>
      <c r="K1088" s="335"/>
    </row>
    <row r="1089" spans="1:11" s="9" customFormat="1" ht="30" customHeight="1">
      <c r="A1089" s="53" t="s">
        <v>13</v>
      </c>
      <c r="B1089" s="37">
        <f>C1089*1.43</f>
        <v>107.25</v>
      </c>
      <c r="C1089" s="36">
        <v>75</v>
      </c>
      <c r="D1089" s="36"/>
      <c r="E1089" s="95"/>
      <c r="F1089" s="95"/>
      <c r="G1089" s="210"/>
      <c r="H1089" s="232"/>
      <c r="I1089" s="235"/>
      <c r="J1089" s="61"/>
      <c r="K1089" s="335"/>
    </row>
    <row r="1090" spans="1:11" s="9" customFormat="1" ht="30" customHeight="1">
      <c r="A1090" s="53" t="s">
        <v>14</v>
      </c>
      <c r="B1090" s="37">
        <f>C1090*1.54</f>
        <v>115.5</v>
      </c>
      <c r="C1090" s="36">
        <v>75</v>
      </c>
      <c r="D1090" s="36"/>
      <c r="E1090" s="95"/>
      <c r="F1090" s="95"/>
      <c r="G1090" s="95"/>
      <c r="H1090" s="87"/>
      <c r="I1090" s="235"/>
      <c r="J1090" s="61"/>
      <c r="K1090" s="335"/>
    </row>
    <row r="1091" spans="1:12" s="9" customFormat="1" ht="30" customHeight="1">
      <c r="A1091" s="53" t="s">
        <v>15</v>
      </c>
      <c r="B1091" s="37">
        <f>C1091*1.67</f>
        <v>125.25</v>
      </c>
      <c r="C1091" s="36">
        <v>75</v>
      </c>
      <c r="D1091" s="36"/>
      <c r="E1091" s="95"/>
      <c r="F1091" s="95"/>
      <c r="G1091" s="210"/>
      <c r="H1091" s="232"/>
      <c r="I1091" s="235"/>
      <c r="J1091" s="61"/>
      <c r="K1091" s="322"/>
      <c r="L1091" s="15"/>
    </row>
    <row r="1092" spans="1:9" s="9" customFormat="1" ht="30" customHeight="1">
      <c r="A1092" s="53" t="s">
        <v>61</v>
      </c>
      <c r="B1092" s="87">
        <f>C1092*1.25</f>
        <v>25</v>
      </c>
      <c r="C1092" s="296">
        <v>20</v>
      </c>
      <c r="D1092" s="36"/>
      <c r="E1092" s="95"/>
      <c r="F1092" s="95"/>
      <c r="G1092" s="210"/>
      <c r="H1092" s="232"/>
      <c r="I1092" s="235"/>
    </row>
    <row r="1093" spans="1:9" s="9" customFormat="1" ht="30" customHeight="1">
      <c r="A1093" s="53" t="s">
        <v>16</v>
      </c>
      <c r="B1093" s="37">
        <f>C1093*1.33</f>
        <v>26.6</v>
      </c>
      <c r="C1093" s="36">
        <v>20</v>
      </c>
      <c r="D1093" s="36"/>
      <c r="E1093" s="95"/>
      <c r="F1093" s="95"/>
      <c r="G1093" s="210"/>
      <c r="H1093" s="232"/>
      <c r="I1093" s="235"/>
    </row>
    <row r="1094" spans="1:9" s="9" customFormat="1" ht="30" customHeight="1">
      <c r="A1094" s="53" t="s">
        <v>18</v>
      </c>
      <c r="B1094" s="37">
        <f>C1094*1.19</f>
        <v>23.799999999999997</v>
      </c>
      <c r="C1094" s="36">
        <v>20</v>
      </c>
      <c r="D1094" s="36"/>
      <c r="E1094" s="95"/>
      <c r="F1094" s="95"/>
      <c r="G1094" s="210"/>
      <c r="H1094" s="232"/>
      <c r="I1094" s="235"/>
    </row>
    <row r="1095" spans="1:9" s="9" customFormat="1" ht="30" customHeight="1">
      <c r="A1095" s="53" t="s">
        <v>19</v>
      </c>
      <c r="B1095" s="37">
        <v>5</v>
      </c>
      <c r="C1095" s="36">
        <v>5</v>
      </c>
      <c r="D1095" s="36"/>
      <c r="E1095" s="95"/>
      <c r="F1095" s="95"/>
      <c r="G1095" s="210"/>
      <c r="H1095" s="232"/>
      <c r="I1095" s="235"/>
    </row>
    <row r="1096" spans="1:12" s="9" customFormat="1" ht="30" customHeight="1">
      <c r="A1096" s="53" t="s">
        <v>86</v>
      </c>
      <c r="B1096" s="36">
        <v>10</v>
      </c>
      <c r="C1096" s="36">
        <v>10</v>
      </c>
      <c r="D1096" s="36"/>
      <c r="E1096" s="41"/>
      <c r="F1096" s="41"/>
      <c r="G1096" s="246"/>
      <c r="H1096" s="365"/>
      <c r="I1096" s="241"/>
      <c r="K1096" s="322"/>
      <c r="L1096" s="15"/>
    </row>
    <row r="1097" spans="1:12" s="9" customFormat="1" ht="30" customHeight="1">
      <c r="A1097" s="51" t="s">
        <v>73</v>
      </c>
      <c r="B1097" s="40">
        <v>0.2</v>
      </c>
      <c r="C1097" s="40">
        <v>0.2</v>
      </c>
      <c r="D1097" s="5"/>
      <c r="E1097" s="95"/>
      <c r="F1097" s="95"/>
      <c r="G1097" s="95"/>
      <c r="H1097" s="87"/>
      <c r="I1097" s="235"/>
      <c r="K1097" s="322"/>
      <c r="L1097" s="15"/>
    </row>
    <row r="1098" spans="1:12" s="9" customFormat="1" ht="30" customHeight="1">
      <c r="A1098" s="502" t="s">
        <v>472</v>
      </c>
      <c r="B1098" s="502"/>
      <c r="C1098" s="502"/>
      <c r="D1098" s="294">
        <v>100</v>
      </c>
      <c r="E1098" s="44">
        <v>8.7</v>
      </c>
      <c r="F1098" s="44">
        <v>8.2</v>
      </c>
      <c r="G1098" s="44">
        <v>4.6</v>
      </c>
      <c r="H1098" s="43">
        <f>G1098*4+F1098*9+E1098*4</f>
        <v>126.99999999999999</v>
      </c>
      <c r="I1098" s="382" t="s">
        <v>473</v>
      </c>
      <c r="K1098" s="322"/>
      <c r="L1098" s="15"/>
    </row>
    <row r="1099" spans="1:12" s="9" customFormat="1" ht="30" customHeight="1">
      <c r="A1099" s="86" t="s">
        <v>93</v>
      </c>
      <c r="B1099" s="48">
        <f>C1099*1.21</f>
        <v>112.53</v>
      </c>
      <c r="C1099" s="296">
        <v>93</v>
      </c>
      <c r="D1099" s="296"/>
      <c r="E1099" s="296"/>
      <c r="F1099" s="95"/>
      <c r="G1099" s="95"/>
      <c r="H1099" s="87"/>
      <c r="I1099" s="459"/>
      <c r="K1099" s="322"/>
      <c r="L1099" s="15"/>
    </row>
    <row r="1100" spans="1:12" ht="30" customHeight="1">
      <c r="A1100" s="451" t="s">
        <v>21</v>
      </c>
      <c r="B1100" s="460">
        <v>4</v>
      </c>
      <c r="C1100" s="460">
        <v>4</v>
      </c>
      <c r="D1100" s="296"/>
      <c r="E1100" s="95"/>
      <c r="F1100" s="95"/>
      <c r="G1100" s="95"/>
      <c r="H1100" s="43"/>
      <c r="I1100" s="459"/>
      <c r="K1100" s="322"/>
      <c r="L1100" s="70"/>
    </row>
    <row r="1101" spans="1:12" s="9" customFormat="1" ht="30" customHeight="1">
      <c r="A1101" s="451" t="s">
        <v>11</v>
      </c>
      <c r="B1101" s="296">
        <v>4</v>
      </c>
      <c r="C1101" s="296">
        <v>4</v>
      </c>
      <c r="D1101" s="296"/>
      <c r="E1101" s="95"/>
      <c r="F1101" s="95"/>
      <c r="G1101" s="44"/>
      <c r="H1101" s="43"/>
      <c r="I1101" s="459"/>
      <c r="K1101" s="322"/>
      <c r="L1101" s="15"/>
    </row>
    <row r="1102" spans="1:9" s="9" customFormat="1" ht="30" customHeight="1">
      <c r="A1102" s="451" t="s">
        <v>474</v>
      </c>
      <c r="B1102" s="296"/>
      <c r="C1102" s="296">
        <v>60</v>
      </c>
      <c r="D1102" s="296"/>
      <c r="E1102" s="95"/>
      <c r="F1102" s="95"/>
      <c r="G1102" s="44"/>
      <c r="H1102" s="43"/>
      <c r="I1102" s="459"/>
    </row>
    <row r="1103" spans="1:9" s="9" customFormat="1" ht="30" customHeight="1">
      <c r="A1103" s="451" t="s">
        <v>475</v>
      </c>
      <c r="B1103" s="296"/>
      <c r="C1103" s="296">
        <v>40</v>
      </c>
      <c r="D1103" s="296"/>
      <c r="E1103" s="95"/>
      <c r="F1103" s="95"/>
      <c r="G1103" s="44"/>
      <c r="H1103" s="43"/>
      <c r="I1103" s="261" t="s">
        <v>476</v>
      </c>
    </row>
    <row r="1104" spans="1:9" s="9" customFormat="1" ht="30" customHeight="1">
      <c r="A1104" s="402" t="s">
        <v>57</v>
      </c>
      <c r="B1104" s="460">
        <v>10</v>
      </c>
      <c r="C1104" s="460">
        <v>10</v>
      </c>
      <c r="D1104" s="296"/>
      <c r="E1104" s="95"/>
      <c r="F1104" s="95"/>
      <c r="G1104" s="44"/>
      <c r="H1104" s="43"/>
      <c r="I1104" s="459"/>
    </row>
    <row r="1105" spans="1:9" s="9" customFormat="1" ht="30" customHeight="1">
      <c r="A1105" s="451" t="s">
        <v>21</v>
      </c>
      <c r="B1105" s="460">
        <v>1</v>
      </c>
      <c r="C1105" s="460">
        <v>1</v>
      </c>
      <c r="D1105" s="296"/>
      <c r="E1105" s="95"/>
      <c r="F1105" s="95"/>
      <c r="G1105" s="44"/>
      <c r="H1105" s="43"/>
      <c r="I1105" s="459"/>
    </row>
    <row r="1106" spans="1:9" s="9" customFormat="1" ht="30" customHeight="1">
      <c r="A1106" s="461" t="s">
        <v>63</v>
      </c>
      <c r="B1106" s="87">
        <v>30</v>
      </c>
      <c r="C1106" s="87">
        <v>30</v>
      </c>
      <c r="D1106" s="296"/>
      <c r="E1106" s="95"/>
      <c r="F1106" s="95"/>
      <c r="G1106" s="95"/>
      <c r="H1106" s="87"/>
      <c r="I1106" s="459"/>
    </row>
    <row r="1107" spans="1:9" s="9" customFormat="1" ht="30" customHeight="1">
      <c r="A1107" s="451" t="s">
        <v>19</v>
      </c>
      <c r="B1107" s="87">
        <v>1</v>
      </c>
      <c r="C1107" s="87">
        <v>1</v>
      </c>
      <c r="D1107" s="296"/>
      <c r="E1107" s="87"/>
      <c r="F1107" s="95"/>
      <c r="G1107" s="95"/>
      <c r="H1107" s="43"/>
      <c r="I1107" s="459"/>
    </row>
    <row r="1108" spans="1:9" s="9" customFormat="1" ht="30" customHeight="1">
      <c r="A1108" s="494" t="s">
        <v>266</v>
      </c>
      <c r="B1108" s="494"/>
      <c r="C1108" s="494"/>
      <c r="D1108" s="39">
        <v>150</v>
      </c>
      <c r="E1108" s="44">
        <v>4.7</v>
      </c>
      <c r="F1108" s="44">
        <v>4.8</v>
      </c>
      <c r="G1108" s="44">
        <v>20.6</v>
      </c>
      <c r="H1108" s="43">
        <f>E1108*4+F1108*9+G1108*4</f>
        <v>144.4</v>
      </c>
      <c r="I1108" s="240" t="s">
        <v>267</v>
      </c>
    </row>
    <row r="1109" spans="1:9" s="9" customFormat="1" ht="30" customHeight="1">
      <c r="A1109" s="53" t="s">
        <v>80</v>
      </c>
      <c r="B1109" s="37">
        <v>38</v>
      </c>
      <c r="C1109" s="37">
        <v>38</v>
      </c>
      <c r="D1109" s="36"/>
      <c r="E1109" s="95"/>
      <c r="F1109" s="95"/>
      <c r="G1109" s="95"/>
      <c r="H1109" s="296"/>
      <c r="I1109" s="275"/>
    </row>
    <row r="1110" spans="1:9" s="9" customFormat="1" ht="30" customHeight="1">
      <c r="A1110" s="52" t="s">
        <v>63</v>
      </c>
      <c r="B1110" s="37">
        <v>121</v>
      </c>
      <c r="C1110" s="37">
        <v>121</v>
      </c>
      <c r="D1110" s="36"/>
      <c r="E1110" s="95"/>
      <c r="F1110" s="95"/>
      <c r="G1110" s="95"/>
      <c r="H1110" s="95"/>
      <c r="I1110" s="275"/>
    </row>
    <row r="1111" spans="1:9" s="9" customFormat="1" ht="30" customHeight="1">
      <c r="A1111" s="52" t="s">
        <v>19</v>
      </c>
      <c r="B1111" s="24">
        <v>5</v>
      </c>
      <c r="C1111" s="24">
        <v>5</v>
      </c>
      <c r="D1111" s="36"/>
      <c r="E1111" s="95"/>
      <c r="F1111" s="95"/>
      <c r="G1111" s="95"/>
      <c r="H1111" s="296"/>
      <c r="I1111" s="275"/>
    </row>
    <row r="1112" spans="1:12" s="9" customFormat="1" ht="30" customHeight="1">
      <c r="A1112" s="356" t="s">
        <v>229</v>
      </c>
      <c r="B1112" s="23">
        <v>200</v>
      </c>
      <c r="C1112" s="23">
        <v>200</v>
      </c>
      <c r="D1112" s="23">
        <v>200</v>
      </c>
      <c r="E1112" s="110">
        <v>0.4</v>
      </c>
      <c r="F1112" s="110">
        <v>0</v>
      </c>
      <c r="G1112" s="110">
        <v>22</v>
      </c>
      <c r="H1112" s="256">
        <f>G1112*4+F1112*9+E1112*4</f>
        <v>89.6</v>
      </c>
      <c r="I1112" s="261" t="s">
        <v>230</v>
      </c>
      <c r="J1112" s="61"/>
      <c r="K1112" s="334"/>
      <c r="L1112" s="15"/>
    </row>
    <row r="1113" spans="1:12" s="9" customFormat="1" ht="30" customHeight="1">
      <c r="A1113" s="483" t="s">
        <v>70</v>
      </c>
      <c r="B1113" s="483"/>
      <c r="C1113" s="483"/>
      <c r="D1113" s="483"/>
      <c r="E1113" s="483"/>
      <c r="F1113" s="483"/>
      <c r="G1113" s="483"/>
      <c r="H1113" s="483"/>
      <c r="I1113" s="275"/>
      <c r="K1113" s="335"/>
      <c r="L1113" s="15"/>
    </row>
    <row r="1114" spans="1:12" s="9" customFormat="1" ht="30" customHeight="1">
      <c r="A1114" s="491" t="s">
        <v>246</v>
      </c>
      <c r="B1114" s="491"/>
      <c r="C1114" s="491"/>
      <c r="D1114" s="26">
        <v>200</v>
      </c>
      <c r="E1114" s="472">
        <v>1</v>
      </c>
      <c r="F1114" s="472">
        <v>0</v>
      </c>
      <c r="G1114" s="472">
        <v>22.1</v>
      </c>
      <c r="H1114" s="43">
        <f>G1114*4+F1114*9+E1114*4</f>
        <v>92.4</v>
      </c>
      <c r="I1114" s="261" t="s">
        <v>247</v>
      </c>
      <c r="K1114" s="335"/>
      <c r="L1114" s="15"/>
    </row>
    <row r="1115" spans="1:12" s="9" customFormat="1" ht="30" customHeight="1">
      <c r="A1115" s="53" t="s">
        <v>175</v>
      </c>
      <c r="B1115" s="36">
        <v>20</v>
      </c>
      <c r="C1115" s="36">
        <v>20</v>
      </c>
      <c r="D1115" s="36"/>
      <c r="E1115" s="95"/>
      <c r="F1115" s="95"/>
      <c r="G1115" s="95"/>
      <c r="H1115" s="296"/>
      <c r="I1115" s="274"/>
      <c r="K1115" s="335"/>
      <c r="L1115" s="15"/>
    </row>
    <row r="1116" spans="1:12" ht="30" customHeight="1">
      <c r="A1116" s="53" t="s">
        <v>4</v>
      </c>
      <c r="B1116" s="36">
        <v>10</v>
      </c>
      <c r="C1116" s="36">
        <v>10</v>
      </c>
      <c r="D1116" s="36"/>
      <c r="E1116" s="95"/>
      <c r="F1116" s="95"/>
      <c r="G1116" s="95"/>
      <c r="H1116" s="296"/>
      <c r="L1116" s="70"/>
    </row>
    <row r="1117" spans="1:12" ht="30" customHeight="1">
      <c r="A1117" s="354" t="s">
        <v>20</v>
      </c>
      <c r="B1117" s="25">
        <v>40</v>
      </c>
      <c r="C1117" s="25">
        <v>40</v>
      </c>
      <c r="D1117" s="39">
        <v>40</v>
      </c>
      <c r="E1117" s="366">
        <v>1.8666666666666667</v>
      </c>
      <c r="F1117" s="366">
        <v>0.4</v>
      </c>
      <c r="G1117" s="366">
        <v>17.466666666666665</v>
      </c>
      <c r="H1117" s="367">
        <v>81.06666666666666</v>
      </c>
      <c r="I1117" s="368"/>
      <c r="L1117" s="70"/>
    </row>
    <row r="1118" spans="1:12" s="9" customFormat="1" ht="30" customHeight="1">
      <c r="A1118" s="477" t="s">
        <v>75</v>
      </c>
      <c r="B1118" s="478"/>
      <c r="C1118" s="478"/>
      <c r="D1118" s="77">
        <v>40</v>
      </c>
      <c r="E1118" s="95"/>
      <c r="F1118" s="95"/>
      <c r="G1118" s="95"/>
      <c r="H1118" s="95"/>
      <c r="I1118" s="280"/>
      <c r="K1118" s="335"/>
      <c r="L1118" s="15"/>
    </row>
    <row r="1119" spans="1:12" s="9" customFormat="1" ht="30" customHeight="1">
      <c r="A1119" s="212" t="s">
        <v>26</v>
      </c>
      <c r="B1119" s="36">
        <v>40</v>
      </c>
      <c r="C1119" s="36">
        <v>40</v>
      </c>
      <c r="D1119" s="23">
        <v>40</v>
      </c>
      <c r="E1119" s="110">
        <v>1.4</v>
      </c>
      <c r="F1119" s="110">
        <v>0.4</v>
      </c>
      <c r="G1119" s="110">
        <v>18.8</v>
      </c>
      <c r="H1119" s="256">
        <v>82</v>
      </c>
      <c r="I1119" s="275"/>
      <c r="K1119" s="335"/>
      <c r="L1119" s="15"/>
    </row>
    <row r="1120" spans="1:12" s="9" customFormat="1" ht="30" customHeight="1">
      <c r="A1120" s="475" t="s">
        <v>24</v>
      </c>
      <c r="B1120" s="475"/>
      <c r="C1120" s="475"/>
      <c r="D1120" s="475"/>
      <c r="E1120" s="99">
        <f>E1057+E1012</f>
        <v>39.21666666666666</v>
      </c>
      <c r="F1120" s="99">
        <f>F1057+F1012</f>
        <v>42.175</v>
      </c>
      <c r="G1120" s="99">
        <f>G1057+G1012</f>
        <v>187.61666666666667</v>
      </c>
      <c r="H1120" s="96">
        <f>H1057+H1012</f>
        <v>1289.2416666666666</v>
      </c>
      <c r="I1120" s="274"/>
      <c r="K1120" s="335"/>
      <c r="L1120" s="15"/>
    </row>
    <row r="1121" spans="1:12" ht="30" customHeight="1">
      <c r="A1121" s="490" t="s">
        <v>391</v>
      </c>
      <c r="B1121" s="490"/>
      <c r="C1121" s="490"/>
      <c r="D1121" s="490"/>
      <c r="E1121" s="490"/>
      <c r="F1121" s="490"/>
      <c r="G1121" s="490"/>
      <c r="H1121" s="490"/>
      <c r="I1121" s="490"/>
      <c r="L1121" s="70"/>
    </row>
    <row r="1122" spans="1:12" s="9" customFormat="1" ht="30" customHeight="1">
      <c r="A1122" s="487" t="s">
        <v>0</v>
      </c>
      <c r="B1122" s="476" t="s">
        <v>6</v>
      </c>
      <c r="C1122" s="476" t="s">
        <v>7</v>
      </c>
      <c r="D1122" s="487" t="s">
        <v>5</v>
      </c>
      <c r="E1122" s="487"/>
      <c r="F1122" s="487"/>
      <c r="G1122" s="487"/>
      <c r="H1122" s="487"/>
      <c r="I1122" s="487"/>
      <c r="K1122" s="335"/>
      <c r="L1122" s="15"/>
    </row>
    <row r="1123" spans="1:12" ht="30" customHeight="1">
      <c r="A1123" s="487"/>
      <c r="B1123" s="476"/>
      <c r="C1123" s="476"/>
      <c r="D1123" s="138" t="s">
        <v>8</v>
      </c>
      <c r="E1123" s="301" t="s">
        <v>1</v>
      </c>
      <c r="F1123" s="301" t="s">
        <v>2</v>
      </c>
      <c r="G1123" s="301" t="s">
        <v>9</v>
      </c>
      <c r="H1123" s="300" t="s">
        <v>3</v>
      </c>
      <c r="I1123" s="302" t="s">
        <v>199</v>
      </c>
      <c r="L1123" s="70"/>
    </row>
    <row r="1124" spans="1:12" s="9" customFormat="1" ht="30" customHeight="1">
      <c r="A1124" s="479" t="s">
        <v>109</v>
      </c>
      <c r="B1124" s="479"/>
      <c r="C1124" s="479"/>
      <c r="D1124" s="263">
        <f>30+205+D1135+D1143</f>
        <v>585</v>
      </c>
      <c r="E1124" s="99">
        <f>E1125+E1128+E1135+E1143+E1144</f>
        <v>16.999999999999996</v>
      </c>
      <c r="F1124" s="99">
        <f>F1125+F1128+F1135+F1143+F1144</f>
        <v>21.4</v>
      </c>
      <c r="G1124" s="99">
        <f>G1125+G1128+G1135+G1143+G1144</f>
        <v>81.4</v>
      </c>
      <c r="H1124" s="99">
        <f>H1125+H1128+H1135+H1143+H1144</f>
        <v>585.3</v>
      </c>
      <c r="I1124" s="273"/>
      <c r="K1124" s="335"/>
      <c r="L1124" s="15"/>
    </row>
    <row r="1125" spans="1:12" s="9" customFormat="1" ht="30" customHeight="1">
      <c r="A1125" s="477" t="s">
        <v>248</v>
      </c>
      <c r="B1125" s="477"/>
      <c r="C1125" s="477"/>
      <c r="D1125" s="141" t="s">
        <v>170</v>
      </c>
      <c r="E1125" s="44">
        <v>1.5</v>
      </c>
      <c r="F1125" s="44">
        <v>7.3</v>
      </c>
      <c r="G1125" s="44">
        <v>8.2</v>
      </c>
      <c r="H1125" s="43">
        <f>G1125*4+F1125*9+E1125*4</f>
        <v>104.5</v>
      </c>
      <c r="I1125" s="276" t="s">
        <v>249</v>
      </c>
      <c r="K1125" s="335"/>
      <c r="L1125" s="15"/>
    </row>
    <row r="1126" spans="1:12" s="9" customFormat="1" ht="30" customHeight="1">
      <c r="A1126" s="53" t="s">
        <v>133</v>
      </c>
      <c r="B1126" s="36">
        <v>20</v>
      </c>
      <c r="C1126" s="36">
        <v>20</v>
      </c>
      <c r="D1126" s="36"/>
      <c r="E1126" s="95"/>
      <c r="F1126" s="95"/>
      <c r="G1126" s="210"/>
      <c r="H1126" s="232"/>
      <c r="I1126" s="278"/>
      <c r="K1126" s="335"/>
      <c r="L1126" s="15"/>
    </row>
    <row r="1127" spans="1:12" s="9" customFormat="1" ht="30" customHeight="1">
      <c r="A1127" s="53" t="s">
        <v>19</v>
      </c>
      <c r="B1127" s="36">
        <v>10</v>
      </c>
      <c r="C1127" s="36">
        <v>10</v>
      </c>
      <c r="D1127" s="36"/>
      <c r="E1127" s="95"/>
      <c r="F1127" s="95"/>
      <c r="G1127" s="95"/>
      <c r="H1127" s="87"/>
      <c r="I1127" s="278"/>
      <c r="K1127" s="335"/>
      <c r="L1127" s="15"/>
    </row>
    <row r="1128" spans="1:12" s="9" customFormat="1" ht="30" customHeight="1">
      <c r="A1128" s="477" t="s">
        <v>438</v>
      </c>
      <c r="B1128" s="477"/>
      <c r="C1128" s="477"/>
      <c r="D1128" s="23" t="s">
        <v>439</v>
      </c>
      <c r="E1128" s="110">
        <v>11.2</v>
      </c>
      <c r="F1128" s="110">
        <v>10.7</v>
      </c>
      <c r="G1128" s="110">
        <v>34</v>
      </c>
      <c r="H1128" s="256">
        <f>E1128*4+F1128*9+G1128*4</f>
        <v>277.1</v>
      </c>
      <c r="I1128" s="261" t="s">
        <v>440</v>
      </c>
      <c r="K1128" s="336" t="s">
        <v>108</v>
      </c>
      <c r="L1128" s="1"/>
    </row>
    <row r="1129" spans="1:12" s="9" customFormat="1" ht="30" customHeight="1">
      <c r="A1129" s="53" t="s">
        <v>484</v>
      </c>
      <c r="B1129" s="37">
        <v>62</v>
      </c>
      <c r="C1129" s="37">
        <v>62</v>
      </c>
      <c r="D1129" s="36"/>
      <c r="E1129" s="110"/>
      <c r="F1129" s="110"/>
      <c r="G1129" s="110"/>
      <c r="H1129" s="110"/>
      <c r="I1129" s="413"/>
      <c r="K1129" s="322" t="s">
        <v>26</v>
      </c>
      <c r="L1129" s="61">
        <f>D1205+D1144</f>
        <v>60</v>
      </c>
    </row>
    <row r="1130" spans="1:12" s="9" customFormat="1" ht="30" customHeight="1">
      <c r="A1130" s="53" t="s">
        <v>63</v>
      </c>
      <c r="B1130" s="24">
        <f>B1129*6</f>
        <v>372</v>
      </c>
      <c r="C1130" s="24">
        <f>C1129*6</f>
        <v>372</v>
      </c>
      <c r="D1130" s="41"/>
      <c r="E1130" s="110"/>
      <c r="F1130" s="110"/>
      <c r="G1130" s="110"/>
      <c r="H1130" s="256"/>
      <c r="I1130" s="261"/>
      <c r="K1130" s="322" t="s">
        <v>131</v>
      </c>
      <c r="L1130" s="72">
        <f>D1203+C1126</f>
        <v>80</v>
      </c>
    </row>
    <row r="1131" spans="1:12" s="9" customFormat="1" ht="30" customHeight="1">
      <c r="A1131" s="53" t="s">
        <v>441</v>
      </c>
      <c r="B1131" s="37"/>
      <c r="C1131" s="37">
        <v>175</v>
      </c>
      <c r="D1131" s="41"/>
      <c r="E1131" s="41"/>
      <c r="F1131" s="41"/>
      <c r="G1131" s="41"/>
      <c r="H1131" s="36"/>
      <c r="I1131" s="244"/>
      <c r="K1131" s="322" t="s">
        <v>161</v>
      </c>
      <c r="L1131" s="62"/>
    </row>
    <row r="1132" spans="1:12" s="9" customFormat="1" ht="30" customHeight="1">
      <c r="A1132" s="56" t="s">
        <v>442</v>
      </c>
      <c r="B1132" s="36">
        <v>10</v>
      </c>
      <c r="C1132" s="36">
        <v>10</v>
      </c>
      <c r="D1132" s="36"/>
      <c r="E1132" s="41"/>
      <c r="F1132" s="41"/>
      <c r="G1132" s="41"/>
      <c r="H1132" s="36"/>
      <c r="I1132" s="457"/>
      <c r="K1132" s="322" t="s">
        <v>67</v>
      </c>
      <c r="L1132" s="62"/>
    </row>
    <row r="1133" spans="1:12" s="9" customFormat="1" ht="30" customHeight="1">
      <c r="A1133" s="53" t="s">
        <v>98</v>
      </c>
      <c r="B1133" s="37">
        <v>17</v>
      </c>
      <c r="C1133" s="37">
        <v>15</v>
      </c>
      <c r="D1133" s="41"/>
      <c r="E1133" s="41"/>
      <c r="F1133" s="41"/>
      <c r="G1133" s="41"/>
      <c r="H1133" s="36"/>
      <c r="I1133" s="244"/>
      <c r="K1133" s="322" t="s">
        <v>66</v>
      </c>
      <c r="L1133" s="62">
        <f>C1129</f>
        <v>62</v>
      </c>
    </row>
    <row r="1134" spans="1:12" s="9" customFormat="1" ht="30" customHeight="1">
      <c r="A1134" s="53" t="s">
        <v>443</v>
      </c>
      <c r="B1134" s="36">
        <v>5</v>
      </c>
      <c r="C1134" s="36">
        <v>5</v>
      </c>
      <c r="D1134" s="41"/>
      <c r="E1134" s="41"/>
      <c r="F1134" s="41"/>
      <c r="G1134" s="41"/>
      <c r="H1134" s="36"/>
      <c r="I1134" s="458"/>
      <c r="K1134" s="322" t="s">
        <v>27</v>
      </c>
      <c r="L1134" s="62">
        <f>C1172+C1148+C1188</f>
        <v>181</v>
      </c>
    </row>
    <row r="1135" spans="1:12" s="9" customFormat="1" ht="30" customHeight="1">
      <c r="A1135" s="502" t="s">
        <v>482</v>
      </c>
      <c r="B1135" s="502"/>
      <c r="C1135" s="502"/>
      <c r="D1135" s="23">
        <v>200</v>
      </c>
      <c r="E1135" s="110">
        <v>3.4</v>
      </c>
      <c r="F1135" s="23">
        <v>3.2</v>
      </c>
      <c r="G1135" s="23">
        <v>21.2</v>
      </c>
      <c r="H1135" s="400">
        <f>E1135*4+F1135*9+G1135*4</f>
        <v>127.19999999999999</v>
      </c>
      <c r="I1135" s="241" t="s">
        <v>483</v>
      </c>
      <c r="K1135" s="322" t="s">
        <v>210</v>
      </c>
      <c r="L1135" s="62">
        <f>C1153+C1154+C1168+C1171+C1176+C1178+C1182+C1180+C1192+C1193</f>
        <v>133.7</v>
      </c>
    </row>
    <row r="1136" spans="1:12" s="9" customFormat="1" ht="30" customHeight="1">
      <c r="A1136" s="56" t="s">
        <v>55</v>
      </c>
      <c r="B1136" s="37">
        <v>5</v>
      </c>
      <c r="C1136" s="37">
        <v>5</v>
      </c>
      <c r="D1136" s="36"/>
      <c r="E1136" s="41"/>
      <c r="F1136" s="41"/>
      <c r="G1136" s="41"/>
      <c r="H1136" s="37"/>
      <c r="I1136" s="382"/>
      <c r="K1136" s="322" t="s">
        <v>28</v>
      </c>
      <c r="L1136" s="17">
        <f>D1143</f>
        <v>150</v>
      </c>
    </row>
    <row r="1137" spans="1:11" s="9" customFormat="1" ht="30" customHeight="1">
      <c r="A1137" s="402" t="s">
        <v>52</v>
      </c>
      <c r="B1137" s="296">
        <v>130</v>
      </c>
      <c r="C1137" s="296">
        <v>130</v>
      </c>
      <c r="D1137" s="36"/>
      <c r="E1137" s="36"/>
      <c r="F1137" s="36"/>
      <c r="G1137" s="36"/>
      <c r="H1137" s="37"/>
      <c r="I1137" s="290"/>
      <c r="K1137" s="322" t="s">
        <v>177</v>
      </c>
    </row>
    <row r="1138" spans="1:12" s="9" customFormat="1" ht="30" customHeight="1">
      <c r="A1138" s="58" t="s">
        <v>38</v>
      </c>
      <c r="B1138" s="89">
        <f>B1137*460/1000</f>
        <v>59.8</v>
      </c>
      <c r="C1138" s="89">
        <f>C1137*460/1000</f>
        <v>59.8</v>
      </c>
      <c r="D1138" s="36"/>
      <c r="E1138" s="36"/>
      <c r="F1138" s="36"/>
      <c r="G1138" s="36"/>
      <c r="H1138" s="37"/>
      <c r="I1138" s="290"/>
      <c r="K1138" s="322" t="s">
        <v>211</v>
      </c>
      <c r="L1138" s="6">
        <f>C1142</f>
        <v>15</v>
      </c>
    </row>
    <row r="1139" spans="1:12" s="9" customFormat="1" ht="30" customHeight="1">
      <c r="A1139" s="58" t="s">
        <v>39</v>
      </c>
      <c r="B1139" s="89">
        <f>B1137*120/1000</f>
        <v>15.6</v>
      </c>
      <c r="C1139" s="89">
        <f>C1137*120/1000</f>
        <v>15.6</v>
      </c>
      <c r="D1139" s="36"/>
      <c r="E1139" s="36"/>
      <c r="F1139" s="36"/>
      <c r="G1139" s="36"/>
      <c r="H1139" s="37"/>
      <c r="I1139" s="290"/>
      <c r="K1139" s="322" t="s">
        <v>375</v>
      </c>
      <c r="L1139" s="9">
        <f>C1195</f>
        <v>200</v>
      </c>
    </row>
    <row r="1140" spans="1:11" s="9" customFormat="1" ht="30" customHeight="1">
      <c r="A1140" s="190" t="s">
        <v>155</v>
      </c>
      <c r="B1140" s="191">
        <f>B1137-B1138</f>
        <v>70.2</v>
      </c>
      <c r="C1140" s="191">
        <f>C1137-C1138</f>
        <v>70.2</v>
      </c>
      <c r="D1140" s="36"/>
      <c r="E1140" s="36"/>
      <c r="F1140" s="36"/>
      <c r="G1140" s="36"/>
      <c r="H1140" s="37"/>
      <c r="I1140" s="290"/>
      <c r="K1140" s="337" t="s">
        <v>29</v>
      </c>
    </row>
    <row r="1141" spans="1:12" s="9" customFormat="1" ht="30" customHeight="1">
      <c r="A1141" s="190" t="s">
        <v>156</v>
      </c>
      <c r="B1141" s="191">
        <f>B1137-B1139</f>
        <v>114.4</v>
      </c>
      <c r="C1141" s="191">
        <f>C1137-C1139</f>
        <v>114.4</v>
      </c>
      <c r="D1141" s="36"/>
      <c r="E1141" s="36"/>
      <c r="F1141" s="36"/>
      <c r="G1141" s="36"/>
      <c r="H1141" s="37"/>
      <c r="I1141" s="290"/>
      <c r="K1141" s="322" t="s">
        <v>71</v>
      </c>
      <c r="L1141" s="62"/>
    </row>
    <row r="1142" spans="1:12" s="9" customFormat="1" ht="30" customHeight="1">
      <c r="A1142" s="402" t="s">
        <v>4</v>
      </c>
      <c r="B1142" s="296">
        <v>15</v>
      </c>
      <c r="C1142" s="296">
        <v>15</v>
      </c>
      <c r="D1142" s="23"/>
      <c r="E1142" s="23"/>
      <c r="F1142" s="23"/>
      <c r="G1142" s="23"/>
      <c r="H1142" s="256"/>
      <c r="I1142" s="290"/>
      <c r="K1142" s="322" t="s">
        <v>189</v>
      </c>
      <c r="L1142" s="62">
        <f>C1136</f>
        <v>5</v>
      </c>
    </row>
    <row r="1143" spans="1:12" s="9" customFormat="1" ht="30" customHeight="1">
      <c r="A1143" s="482" t="s">
        <v>96</v>
      </c>
      <c r="B1143" s="478"/>
      <c r="C1143" s="478"/>
      <c r="D1143" s="26">
        <v>150</v>
      </c>
      <c r="E1143" s="45">
        <v>0.2</v>
      </c>
      <c r="F1143" s="45">
        <v>0</v>
      </c>
      <c r="G1143" s="45">
        <v>8.6</v>
      </c>
      <c r="H1143" s="43">
        <f>E1143*4+F1143*9+G1143*4</f>
        <v>35.199999999999996</v>
      </c>
      <c r="I1143" s="276" t="s">
        <v>215</v>
      </c>
      <c r="K1143" s="322" t="s">
        <v>190</v>
      </c>
      <c r="L1143" s="61"/>
    </row>
    <row r="1144" spans="1:12" s="9" customFormat="1" ht="30" customHeight="1">
      <c r="A1144" s="212" t="s">
        <v>26</v>
      </c>
      <c r="B1144" s="36">
        <v>20</v>
      </c>
      <c r="C1144" s="36">
        <v>20</v>
      </c>
      <c r="D1144" s="23">
        <v>20</v>
      </c>
      <c r="E1144" s="110">
        <v>0.7</v>
      </c>
      <c r="F1144" s="110">
        <v>0.2</v>
      </c>
      <c r="G1144" s="110">
        <v>9.4</v>
      </c>
      <c r="H1144" s="256">
        <v>41.3</v>
      </c>
      <c r="I1144" s="275"/>
      <c r="K1144" s="338" t="s">
        <v>30</v>
      </c>
      <c r="L1144" s="61"/>
    </row>
    <row r="1145" spans="1:12" s="9" customFormat="1" ht="30" customHeight="1">
      <c r="A1145" s="479" t="s">
        <v>58</v>
      </c>
      <c r="B1145" s="479"/>
      <c r="C1145" s="479"/>
      <c r="D1145" s="263">
        <f>D1146+D1147+270+D1195+D1183</f>
        <v>770</v>
      </c>
      <c r="E1145" s="99">
        <f>E1146+E1147+E1164+E1195+E1203+E1205+E1183</f>
        <v>31.6</v>
      </c>
      <c r="F1145" s="99">
        <f>F1146+F1147+F1164+F1195+F1203+F1205+F1183</f>
        <v>30.549999999999997</v>
      </c>
      <c r="G1145" s="99">
        <f>G1146+G1147+G1164+G1195+G1203+G1205+G1183</f>
        <v>103.35</v>
      </c>
      <c r="H1145" s="99">
        <f>H1146+H1147+H1164+H1195+H1203+H1205+H1183</f>
        <v>812.95</v>
      </c>
      <c r="I1145" s="275"/>
      <c r="K1145" s="322" t="s">
        <v>179</v>
      </c>
      <c r="L1145" s="62">
        <f>C1166+C1184</f>
        <v>96</v>
      </c>
    </row>
    <row r="1146" spans="1:12" s="9" customFormat="1" ht="30" customHeight="1">
      <c r="A1146" s="502" t="s">
        <v>480</v>
      </c>
      <c r="B1146" s="502"/>
      <c r="C1146" s="502"/>
      <c r="D1146" s="294">
        <v>40</v>
      </c>
      <c r="E1146" s="110">
        <v>5.1</v>
      </c>
      <c r="F1146" s="110">
        <v>4.05</v>
      </c>
      <c r="G1146" s="110">
        <v>0.25</v>
      </c>
      <c r="H1146" s="256">
        <f>E1146*4+F1146*9+G1146*4</f>
        <v>57.849999999999994</v>
      </c>
      <c r="I1146" s="235" t="s">
        <v>481</v>
      </c>
      <c r="K1146" s="322" t="s">
        <v>181</v>
      </c>
      <c r="L1146" s="62"/>
    </row>
    <row r="1147" spans="1:12" s="9" customFormat="1" ht="30" customHeight="1">
      <c r="A1147" s="482" t="s">
        <v>380</v>
      </c>
      <c r="B1147" s="482"/>
      <c r="C1147" s="482"/>
      <c r="D1147" s="23">
        <v>60</v>
      </c>
      <c r="E1147" s="110">
        <v>1</v>
      </c>
      <c r="F1147" s="110">
        <v>3</v>
      </c>
      <c r="G1147" s="110">
        <v>3.4</v>
      </c>
      <c r="H1147" s="256">
        <f>G1147*4+F1147*9+E1147*4</f>
        <v>44.6</v>
      </c>
      <c r="I1147" s="261" t="s">
        <v>381</v>
      </c>
      <c r="K1147" s="322" t="s">
        <v>180</v>
      </c>
      <c r="L1147" s="61"/>
    </row>
    <row r="1148" spans="1:12" s="9" customFormat="1" ht="30" customHeight="1">
      <c r="A1148" s="56" t="s">
        <v>12</v>
      </c>
      <c r="B1148" s="37">
        <f>C1148*1.33</f>
        <v>41.230000000000004</v>
      </c>
      <c r="C1148" s="37">
        <v>31</v>
      </c>
      <c r="D1148" s="37"/>
      <c r="E1148" s="36"/>
      <c r="F1148" s="36"/>
      <c r="G1148" s="36"/>
      <c r="H1148" s="36"/>
      <c r="I1148" s="285"/>
      <c r="K1148" s="322" t="s">
        <v>182</v>
      </c>
      <c r="L1148" s="62"/>
    </row>
    <row r="1149" spans="1:12" s="9" customFormat="1" ht="30" customHeight="1">
      <c r="A1149" s="56" t="s">
        <v>13</v>
      </c>
      <c r="B1149" s="37">
        <f>C1149*1.43</f>
        <v>44.33</v>
      </c>
      <c r="C1149" s="37">
        <v>31</v>
      </c>
      <c r="D1149" s="37"/>
      <c r="E1149" s="36"/>
      <c r="F1149" s="36"/>
      <c r="G1149" s="36"/>
      <c r="H1149" s="36"/>
      <c r="I1149" s="285"/>
      <c r="K1149" s="327" t="s">
        <v>82</v>
      </c>
      <c r="L1149" s="170">
        <f>C1137</f>
        <v>130</v>
      </c>
    </row>
    <row r="1150" spans="1:11" s="9" customFormat="1" ht="30" customHeight="1">
      <c r="A1150" s="56" t="s">
        <v>14</v>
      </c>
      <c r="B1150" s="37">
        <f>C1150*1.54</f>
        <v>47.74</v>
      </c>
      <c r="C1150" s="37">
        <v>31</v>
      </c>
      <c r="D1150" s="37"/>
      <c r="E1150" s="37"/>
      <c r="F1150" s="36"/>
      <c r="G1150" s="36"/>
      <c r="H1150" s="36"/>
      <c r="I1150" s="244"/>
      <c r="K1150" s="329" t="s">
        <v>183</v>
      </c>
    </row>
    <row r="1151" spans="1:12" s="9" customFormat="1" ht="30" customHeight="1">
      <c r="A1151" s="53" t="s">
        <v>15</v>
      </c>
      <c r="B1151" s="37">
        <f>C1151*1.67</f>
        <v>51.769999999999996</v>
      </c>
      <c r="C1151" s="37">
        <v>31</v>
      </c>
      <c r="D1151" s="37"/>
      <c r="E1151" s="36"/>
      <c r="F1151" s="36"/>
      <c r="G1151" s="36"/>
      <c r="H1151" s="36"/>
      <c r="I1151" s="244"/>
      <c r="K1151" s="322" t="s">
        <v>184</v>
      </c>
      <c r="L1151" s="61"/>
    </row>
    <row r="1152" spans="1:12" s="9" customFormat="1" ht="30" customHeight="1">
      <c r="A1152" s="124" t="s">
        <v>287</v>
      </c>
      <c r="B1152" s="37"/>
      <c r="C1152" s="256">
        <v>28</v>
      </c>
      <c r="D1152" s="37"/>
      <c r="E1152" s="37"/>
      <c r="F1152" s="36"/>
      <c r="G1152" s="36"/>
      <c r="H1152" s="37"/>
      <c r="I1152" s="244"/>
      <c r="K1152" s="322" t="s">
        <v>31</v>
      </c>
      <c r="L1152" s="62">
        <f>C1181</f>
        <v>5</v>
      </c>
    </row>
    <row r="1153" spans="1:12" s="9" customFormat="1" ht="30" customHeight="1">
      <c r="A1153" s="56" t="s">
        <v>382</v>
      </c>
      <c r="B1153" s="37">
        <f>C1153*1.67</f>
        <v>21.71</v>
      </c>
      <c r="C1153" s="37">
        <v>13</v>
      </c>
      <c r="D1153" s="37"/>
      <c r="E1153" s="36"/>
      <c r="F1153" s="37"/>
      <c r="G1153" s="37"/>
      <c r="H1153" s="37"/>
      <c r="I1153" s="244"/>
      <c r="K1153" s="322" t="s">
        <v>185</v>
      </c>
      <c r="L1153" s="17">
        <f>C1133</f>
        <v>15</v>
      </c>
    </row>
    <row r="1154" spans="1:12" s="15" customFormat="1" ht="30" customHeight="1">
      <c r="A1154" s="56" t="s">
        <v>383</v>
      </c>
      <c r="B1154" s="37">
        <f>C1154*1.25</f>
        <v>25</v>
      </c>
      <c r="C1154" s="37">
        <v>20</v>
      </c>
      <c r="D1154" s="37"/>
      <c r="E1154" s="37"/>
      <c r="F1154" s="37"/>
      <c r="G1154" s="36"/>
      <c r="H1154" s="36"/>
      <c r="I1154" s="244"/>
      <c r="K1154" s="322" t="s">
        <v>32</v>
      </c>
      <c r="L1154" s="62">
        <f>C1179+C1127+C1132+C1134</f>
        <v>30</v>
      </c>
    </row>
    <row r="1155" spans="1:12" s="15" customFormat="1" ht="30" customHeight="1">
      <c r="A1155" s="53" t="s">
        <v>16</v>
      </c>
      <c r="B1155" s="37">
        <f>C1155*1.33</f>
        <v>26.6</v>
      </c>
      <c r="C1155" s="37">
        <v>20</v>
      </c>
      <c r="D1155" s="37"/>
      <c r="E1155" s="36"/>
      <c r="F1155" s="36"/>
      <c r="G1155" s="36"/>
      <c r="H1155" s="36"/>
      <c r="I1155" s="244"/>
      <c r="K1155" s="322" t="s">
        <v>33</v>
      </c>
      <c r="L1155" s="62">
        <f>C1157+C1186+C1194</f>
        <v>16</v>
      </c>
    </row>
    <row r="1156" spans="1:12" s="15" customFormat="1" ht="30" customHeight="1">
      <c r="A1156" s="124" t="s">
        <v>337</v>
      </c>
      <c r="B1156" s="37"/>
      <c r="C1156" s="256">
        <v>18</v>
      </c>
      <c r="D1156" s="37"/>
      <c r="E1156" s="36"/>
      <c r="F1156" s="36"/>
      <c r="G1156" s="36"/>
      <c r="H1156" s="36"/>
      <c r="I1156" s="244"/>
      <c r="K1156" s="322" t="s">
        <v>186</v>
      </c>
      <c r="L1156" s="62">
        <f>C1170+D1146</f>
        <v>41.2</v>
      </c>
    </row>
    <row r="1157" spans="1:12" s="15" customFormat="1" ht="30" customHeight="1">
      <c r="A1157" s="53" t="s">
        <v>11</v>
      </c>
      <c r="B1157" s="37">
        <v>3</v>
      </c>
      <c r="C1157" s="37">
        <v>3</v>
      </c>
      <c r="D1157" s="37"/>
      <c r="E1157" s="36"/>
      <c r="F1157" s="36"/>
      <c r="G1157" s="36"/>
      <c r="H1157" s="36"/>
      <c r="I1157" s="244"/>
      <c r="K1157" s="322" t="s">
        <v>352</v>
      </c>
      <c r="L1157" s="9"/>
    </row>
    <row r="1158" spans="1:12" s="15" customFormat="1" ht="30" customHeight="1">
      <c r="A1158" s="481" t="s">
        <v>70</v>
      </c>
      <c r="B1158" s="481"/>
      <c r="C1158" s="481"/>
      <c r="D1158" s="481"/>
      <c r="E1158" s="481"/>
      <c r="F1158" s="481"/>
      <c r="G1158" s="481"/>
      <c r="H1158" s="481"/>
      <c r="I1158" s="275"/>
      <c r="K1158" s="322" t="s">
        <v>188</v>
      </c>
      <c r="L1158" s="15">
        <v>1.5</v>
      </c>
    </row>
    <row r="1159" spans="1:12" s="15" customFormat="1" ht="30" customHeight="1">
      <c r="A1159" s="498" t="s">
        <v>303</v>
      </c>
      <c r="B1159" s="498"/>
      <c r="C1159" s="498"/>
      <c r="D1159" s="59">
        <v>60</v>
      </c>
      <c r="E1159" s="83">
        <v>0.4</v>
      </c>
      <c r="F1159" s="83">
        <v>0.2</v>
      </c>
      <c r="G1159" s="83">
        <v>1.4</v>
      </c>
      <c r="H1159" s="256">
        <f>G1159*4+F1159*9+E1159*4</f>
        <v>9</v>
      </c>
      <c r="I1159" s="276" t="s">
        <v>304</v>
      </c>
      <c r="K1159" s="322" t="s">
        <v>187</v>
      </c>
      <c r="L1159" s="15">
        <v>1</v>
      </c>
    </row>
    <row r="1160" spans="1:9" s="15" customFormat="1" ht="30" customHeight="1">
      <c r="A1160" s="56" t="s">
        <v>100</v>
      </c>
      <c r="B1160" s="90">
        <f>C1160*1.02</f>
        <v>30.6</v>
      </c>
      <c r="C1160" s="60">
        <v>30</v>
      </c>
      <c r="D1160" s="59"/>
      <c r="E1160" s="83"/>
      <c r="F1160" s="83"/>
      <c r="G1160" s="83"/>
      <c r="H1160" s="257"/>
      <c r="I1160" s="274"/>
    </row>
    <row r="1161" spans="1:9" s="15" customFormat="1" ht="30" customHeight="1">
      <c r="A1161" s="56" t="s">
        <v>101</v>
      </c>
      <c r="B1161" s="90">
        <f>C1161*1.18</f>
        <v>35.4</v>
      </c>
      <c r="C1161" s="60">
        <v>30</v>
      </c>
      <c r="D1161" s="59"/>
      <c r="E1161" s="83"/>
      <c r="F1161" s="83"/>
      <c r="G1161" s="83"/>
      <c r="H1161" s="257"/>
      <c r="I1161" s="274"/>
    </row>
    <row r="1162" spans="1:9" s="15" customFormat="1" ht="30" customHeight="1">
      <c r="A1162" s="56" t="s">
        <v>173</v>
      </c>
      <c r="B1162" s="90">
        <f>C1162*1.05</f>
        <v>31.5</v>
      </c>
      <c r="C1162" s="60">
        <v>30</v>
      </c>
      <c r="D1162" s="59"/>
      <c r="E1162" s="366"/>
      <c r="F1162" s="366"/>
      <c r="G1162" s="366"/>
      <c r="H1162" s="367"/>
      <c r="I1162" s="275"/>
    </row>
    <row r="1163" spans="1:9" s="15" customFormat="1" ht="30" customHeight="1">
      <c r="A1163" s="56" t="s">
        <v>116</v>
      </c>
      <c r="B1163" s="90">
        <f>C1163*1.02</f>
        <v>30.6</v>
      </c>
      <c r="C1163" s="60">
        <v>30</v>
      </c>
      <c r="D1163" s="59"/>
      <c r="E1163" s="366"/>
      <c r="F1163" s="366"/>
      <c r="G1163" s="366"/>
      <c r="H1163" s="367"/>
      <c r="I1163" s="275"/>
    </row>
    <row r="1164" spans="1:9" s="15" customFormat="1" ht="30" customHeight="1">
      <c r="A1164" s="482" t="s">
        <v>511</v>
      </c>
      <c r="B1164" s="478"/>
      <c r="C1164" s="478"/>
      <c r="D1164" s="23" t="s">
        <v>136</v>
      </c>
      <c r="E1164" s="110">
        <v>4.6</v>
      </c>
      <c r="F1164" s="110">
        <v>5.2</v>
      </c>
      <c r="G1164" s="110">
        <v>10.2</v>
      </c>
      <c r="H1164" s="256">
        <f>G1164*4+F1164*9+E1164*4</f>
        <v>106</v>
      </c>
      <c r="I1164" s="276" t="s">
        <v>223</v>
      </c>
    </row>
    <row r="1165" spans="1:9" s="15" customFormat="1" ht="30" customHeight="1">
      <c r="A1165" s="188" t="s">
        <v>231</v>
      </c>
      <c r="B1165" s="160"/>
      <c r="C1165" s="187">
        <v>15</v>
      </c>
      <c r="D1165" s="187"/>
      <c r="E1165" s="44"/>
      <c r="F1165" s="294"/>
      <c r="G1165" s="44"/>
      <c r="H1165" s="43"/>
      <c r="I1165" s="276" t="s">
        <v>232</v>
      </c>
    </row>
    <row r="1166" spans="1:9" s="70" customFormat="1" ht="30" customHeight="1">
      <c r="A1166" s="86" t="s">
        <v>88</v>
      </c>
      <c r="B1166" s="48">
        <f>C1166*1.36</f>
        <v>23.12</v>
      </c>
      <c r="C1166" s="5">
        <v>17</v>
      </c>
      <c r="D1166" s="31"/>
      <c r="E1166" s="85"/>
      <c r="F1166" s="85"/>
      <c r="G1166" s="85"/>
      <c r="H1166" s="258"/>
      <c r="I1166" s="274"/>
    </row>
    <row r="1167" spans="1:9" s="70" customFormat="1" ht="30" customHeight="1">
      <c r="A1167" s="86" t="s">
        <v>89</v>
      </c>
      <c r="B1167" s="48">
        <f>C1167*1.18</f>
        <v>20.06</v>
      </c>
      <c r="C1167" s="35">
        <v>17</v>
      </c>
      <c r="D1167" s="31"/>
      <c r="E1167" s="85"/>
      <c r="F1167" s="85"/>
      <c r="G1167" s="85"/>
      <c r="H1167" s="258"/>
      <c r="I1167" s="274"/>
    </row>
    <row r="1168" spans="1:9" s="15" customFormat="1" ht="30" customHeight="1">
      <c r="A1168" s="51" t="s">
        <v>18</v>
      </c>
      <c r="B1168" s="87">
        <f>C1168*1.19</f>
        <v>1.785</v>
      </c>
      <c r="C1168" s="95">
        <v>1.5</v>
      </c>
      <c r="D1168" s="152"/>
      <c r="E1168" s="85"/>
      <c r="F1168" s="85"/>
      <c r="G1168" s="85"/>
      <c r="H1168" s="258"/>
      <c r="I1168" s="274"/>
    </row>
    <row r="1169" spans="1:9" s="15" customFormat="1" ht="30" customHeight="1">
      <c r="A1169" s="51" t="s">
        <v>63</v>
      </c>
      <c r="B1169" s="95">
        <v>1.5</v>
      </c>
      <c r="C1169" s="95">
        <v>1.5</v>
      </c>
      <c r="D1169" s="152"/>
      <c r="E1169" s="85"/>
      <c r="F1169" s="85"/>
      <c r="G1169" s="85"/>
      <c r="H1169" s="258"/>
      <c r="I1169" s="274"/>
    </row>
    <row r="1170" spans="1:9" s="15" customFormat="1" ht="30" customHeight="1">
      <c r="A1170" s="51" t="s">
        <v>86</v>
      </c>
      <c r="B1170" s="95">
        <v>1.2</v>
      </c>
      <c r="C1170" s="95">
        <v>1.2</v>
      </c>
      <c r="D1170" s="152"/>
      <c r="E1170" s="85"/>
      <c r="F1170" s="85"/>
      <c r="G1170" s="85"/>
      <c r="H1170" s="258"/>
      <c r="I1170" s="274"/>
    </row>
    <row r="1171" spans="1:9" s="15" customFormat="1" ht="30" customHeight="1">
      <c r="A1171" s="51" t="s">
        <v>56</v>
      </c>
      <c r="B1171" s="35">
        <f>C1171*1.25</f>
        <v>66.25</v>
      </c>
      <c r="C1171" s="5">
        <v>53</v>
      </c>
      <c r="D1171" s="5"/>
      <c r="E1171" s="95"/>
      <c r="F1171" s="95"/>
      <c r="G1171" s="95"/>
      <c r="H1171" s="296"/>
      <c r="I1171" s="274"/>
    </row>
    <row r="1172" spans="1:9" s="15" customFormat="1" ht="30" customHeight="1">
      <c r="A1172" s="51" t="s">
        <v>12</v>
      </c>
      <c r="B1172" s="35">
        <f>C1172*1.33</f>
        <v>39.900000000000006</v>
      </c>
      <c r="C1172" s="5">
        <v>30</v>
      </c>
      <c r="D1172" s="5"/>
      <c r="E1172" s="95"/>
      <c r="F1172" s="95"/>
      <c r="G1172" s="95"/>
      <c r="H1172" s="95"/>
      <c r="I1172" s="274"/>
    </row>
    <row r="1173" spans="1:9" s="15" customFormat="1" ht="30" customHeight="1">
      <c r="A1173" s="51" t="s">
        <v>13</v>
      </c>
      <c r="B1173" s="35">
        <f>C1173*1.43</f>
        <v>42.9</v>
      </c>
      <c r="C1173" s="5">
        <v>30</v>
      </c>
      <c r="D1173" s="5"/>
      <c r="E1173" s="95"/>
      <c r="F1173" s="95"/>
      <c r="G1173" s="95"/>
      <c r="H1173" s="296"/>
      <c r="I1173" s="274"/>
    </row>
    <row r="1174" spans="1:9" s="15" customFormat="1" ht="30" customHeight="1">
      <c r="A1174" s="53" t="s">
        <v>14</v>
      </c>
      <c r="B1174" s="35">
        <f>C1174*1.54</f>
        <v>46.2</v>
      </c>
      <c r="C1174" s="5">
        <v>30</v>
      </c>
      <c r="D1174" s="5"/>
      <c r="E1174" s="95"/>
      <c r="F1174" s="44"/>
      <c r="G1174" s="44"/>
      <c r="H1174" s="294"/>
      <c r="I1174" s="274"/>
    </row>
    <row r="1175" spans="1:9" s="15" customFormat="1" ht="30" customHeight="1">
      <c r="A1175" s="53" t="s">
        <v>15</v>
      </c>
      <c r="B1175" s="35">
        <f>C1175*1.67</f>
        <v>50.099999999999994</v>
      </c>
      <c r="C1175" s="5">
        <v>30</v>
      </c>
      <c r="D1175" s="5"/>
      <c r="E1175" s="95"/>
      <c r="F1175" s="95"/>
      <c r="G1175" s="95"/>
      <c r="H1175" s="296"/>
      <c r="I1175" s="274"/>
    </row>
    <row r="1176" spans="1:9" s="15" customFormat="1" ht="30" customHeight="1">
      <c r="A1176" s="51" t="s">
        <v>61</v>
      </c>
      <c r="B1176" s="40">
        <f>C1176*1.25</f>
        <v>12.5</v>
      </c>
      <c r="C1176" s="35">
        <v>10</v>
      </c>
      <c r="D1176" s="5"/>
      <c r="E1176" s="95"/>
      <c r="F1176" s="95"/>
      <c r="G1176" s="95"/>
      <c r="H1176" s="296"/>
      <c r="I1176" s="274"/>
    </row>
    <row r="1177" spans="1:9" s="15" customFormat="1" ht="30" customHeight="1">
      <c r="A1177" s="51" t="s">
        <v>16</v>
      </c>
      <c r="B1177" s="40">
        <f>C1177*1.33</f>
        <v>13.3</v>
      </c>
      <c r="C1177" s="35">
        <v>10</v>
      </c>
      <c r="D1177" s="5"/>
      <c r="E1177" s="95"/>
      <c r="F1177" s="95"/>
      <c r="G1177" s="95"/>
      <c r="H1177" s="296"/>
      <c r="I1177" s="274"/>
    </row>
    <row r="1178" spans="1:9" s="15" customFormat="1" ht="30" customHeight="1">
      <c r="A1178" s="51" t="s">
        <v>18</v>
      </c>
      <c r="B1178" s="37">
        <f>C1178*1.19</f>
        <v>11.899999999999999</v>
      </c>
      <c r="C1178" s="5">
        <v>10</v>
      </c>
      <c r="D1178" s="5"/>
      <c r="E1178" s="95"/>
      <c r="F1178" s="95"/>
      <c r="G1178" s="95"/>
      <c r="H1178" s="296"/>
      <c r="I1178" s="274"/>
    </row>
    <row r="1179" spans="1:9" s="15" customFormat="1" ht="30" customHeight="1">
      <c r="A1179" s="51" t="s">
        <v>19</v>
      </c>
      <c r="B1179" s="35">
        <v>5</v>
      </c>
      <c r="C1179" s="35">
        <v>5</v>
      </c>
      <c r="D1179" s="5"/>
      <c r="E1179" s="95"/>
      <c r="F1179" s="95"/>
      <c r="G1179" s="95"/>
      <c r="H1179" s="296"/>
      <c r="I1179" s="274"/>
    </row>
    <row r="1180" spans="1:10" s="15" customFormat="1" ht="30" customHeight="1">
      <c r="A1180" s="57" t="s">
        <v>54</v>
      </c>
      <c r="B1180" s="36">
        <v>3</v>
      </c>
      <c r="C1180" s="36">
        <v>3</v>
      </c>
      <c r="D1180" s="36"/>
      <c r="E1180" s="95"/>
      <c r="F1180" s="95"/>
      <c r="G1180" s="95"/>
      <c r="H1180" s="296"/>
      <c r="I1180" s="274"/>
      <c r="J1180" s="9"/>
    </row>
    <row r="1181" spans="1:10" s="15" customFormat="1" ht="30" customHeight="1">
      <c r="A1181" s="51" t="s">
        <v>57</v>
      </c>
      <c r="B1181" s="35">
        <v>5</v>
      </c>
      <c r="C1181" s="35">
        <v>5</v>
      </c>
      <c r="D1181" s="5"/>
      <c r="E1181" s="95"/>
      <c r="F1181" s="95"/>
      <c r="G1181" s="95"/>
      <c r="H1181" s="296"/>
      <c r="I1181" s="274"/>
      <c r="J1181" s="9"/>
    </row>
    <row r="1182" spans="1:10" s="15" customFormat="1" ht="30" customHeight="1">
      <c r="A1182" s="53" t="s">
        <v>73</v>
      </c>
      <c r="B1182" s="40">
        <v>0.2</v>
      </c>
      <c r="C1182" s="40">
        <v>0.2</v>
      </c>
      <c r="D1182" s="31"/>
      <c r="E1182" s="85"/>
      <c r="F1182" s="85"/>
      <c r="G1182" s="85"/>
      <c r="H1182" s="258"/>
      <c r="I1182" s="274"/>
      <c r="J1182" s="9"/>
    </row>
    <row r="1183" spans="1:10" s="15" customFormat="1" ht="30" customHeight="1">
      <c r="A1183" s="477" t="s">
        <v>325</v>
      </c>
      <c r="B1183" s="477"/>
      <c r="C1183" s="477"/>
      <c r="D1183" s="294">
        <v>200</v>
      </c>
      <c r="E1183" s="44">
        <v>16.2</v>
      </c>
      <c r="F1183" s="44">
        <v>17.2</v>
      </c>
      <c r="G1183" s="44">
        <v>16.5</v>
      </c>
      <c r="H1183" s="43">
        <f>E1183*4+F1183*9+G1183*4</f>
        <v>285.59999999999997</v>
      </c>
      <c r="I1183" s="230" t="s">
        <v>326</v>
      </c>
      <c r="J1183" s="9"/>
    </row>
    <row r="1184" spans="1:12" s="15" customFormat="1" ht="30" customHeight="1">
      <c r="A1184" s="86" t="s">
        <v>88</v>
      </c>
      <c r="B1184" s="48">
        <f>C1184*1.36</f>
        <v>107.44000000000001</v>
      </c>
      <c r="C1184" s="29">
        <v>79</v>
      </c>
      <c r="D1184" s="5"/>
      <c r="E1184" s="95"/>
      <c r="F1184" s="95"/>
      <c r="G1184" s="95"/>
      <c r="H1184" s="296"/>
      <c r="I1184" s="274"/>
      <c r="J1184" s="61"/>
      <c r="K1184" s="334"/>
      <c r="L1184" s="9"/>
    </row>
    <row r="1185" spans="1:12" s="15" customFormat="1" ht="30" customHeight="1">
      <c r="A1185" s="86" t="s">
        <v>89</v>
      </c>
      <c r="B1185" s="48">
        <f>C1185*1.18</f>
        <v>93.22</v>
      </c>
      <c r="C1185" s="35">
        <v>79</v>
      </c>
      <c r="D1185" s="5"/>
      <c r="E1185" s="44"/>
      <c r="F1185" s="44"/>
      <c r="G1185" s="44"/>
      <c r="H1185" s="44"/>
      <c r="I1185" s="274"/>
      <c r="J1185" s="9"/>
      <c r="K1185" s="335"/>
      <c r="L1185" s="9"/>
    </row>
    <row r="1186" spans="1:12" s="15" customFormat="1" ht="30" customHeight="1">
      <c r="A1186" s="56" t="s">
        <v>11</v>
      </c>
      <c r="B1186" s="37">
        <v>3</v>
      </c>
      <c r="C1186" s="37">
        <v>3</v>
      </c>
      <c r="D1186" s="36"/>
      <c r="E1186" s="41"/>
      <c r="F1186" s="41"/>
      <c r="G1186" s="376"/>
      <c r="H1186" s="286"/>
      <c r="I1186" s="275"/>
      <c r="J1186" s="9"/>
      <c r="K1186" s="335"/>
      <c r="L1186" s="9"/>
    </row>
    <row r="1187" spans="1:12" s="15" customFormat="1" ht="30" customHeight="1">
      <c r="A1187" s="53" t="s">
        <v>99</v>
      </c>
      <c r="B1187" s="37"/>
      <c r="C1187" s="35">
        <v>50</v>
      </c>
      <c r="D1187" s="5"/>
      <c r="E1187" s="95"/>
      <c r="F1187" s="95"/>
      <c r="G1187" s="95"/>
      <c r="H1187" s="296"/>
      <c r="I1187" s="274"/>
      <c r="J1187" s="9"/>
      <c r="K1187" s="335"/>
      <c r="L1187" s="9"/>
    </row>
    <row r="1188" spans="1:12" s="15" customFormat="1" ht="30" customHeight="1">
      <c r="A1188" s="51" t="s">
        <v>12</v>
      </c>
      <c r="B1188" s="35">
        <f>C1188*1.33</f>
        <v>159.60000000000002</v>
      </c>
      <c r="C1188" s="35">
        <v>120</v>
      </c>
      <c r="D1188" s="35"/>
      <c r="E1188" s="95"/>
      <c r="F1188" s="95"/>
      <c r="G1188" s="95"/>
      <c r="H1188" s="296"/>
      <c r="I1188" s="274"/>
      <c r="J1188" s="9"/>
      <c r="K1188" s="335"/>
      <c r="L1188" s="9"/>
    </row>
    <row r="1189" spans="1:12" s="15" customFormat="1" ht="30" customHeight="1">
      <c r="A1189" s="51" t="s">
        <v>13</v>
      </c>
      <c r="B1189" s="35">
        <f>C1189*1.43</f>
        <v>171.6</v>
      </c>
      <c r="C1189" s="35">
        <v>120</v>
      </c>
      <c r="D1189" s="35"/>
      <c r="E1189" s="95"/>
      <c r="F1189" s="95"/>
      <c r="G1189" s="95"/>
      <c r="H1189" s="296"/>
      <c r="I1189" s="274"/>
      <c r="J1189" s="9"/>
      <c r="K1189" s="335"/>
      <c r="L1189" s="9"/>
    </row>
    <row r="1190" spans="1:12" s="70" customFormat="1" ht="30" customHeight="1">
      <c r="A1190" s="53" t="s">
        <v>14</v>
      </c>
      <c r="B1190" s="35">
        <f>C1190*1.54</f>
        <v>184.8</v>
      </c>
      <c r="C1190" s="35">
        <v>120</v>
      </c>
      <c r="D1190" s="35"/>
      <c r="E1190" s="95"/>
      <c r="F1190" s="95"/>
      <c r="G1190" s="95"/>
      <c r="H1190" s="296"/>
      <c r="I1190" s="274"/>
      <c r="J1190" s="61"/>
      <c r="K1190" s="334"/>
      <c r="L1190" s="61"/>
    </row>
    <row r="1191" spans="1:12" s="15" customFormat="1" ht="30" customHeight="1">
      <c r="A1191" s="53" t="s">
        <v>15</v>
      </c>
      <c r="B1191" s="35">
        <f>C1191*1.67</f>
        <v>200.39999999999998</v>
      </c>
      <c r="C1191" s="35">
        <v>120</v>
      </c>
      <c r="D1191" s="35"/>
      <c r="E1191" s="95"/>
      <c r="F1191" s="95"/>
      <c r="G1191" s="95"/>
      <c r="H1191" s="296"/>
      <c r="I1191" s="274"/>
      <c r="J1191" s="61"/>
      <c r="K1191" s="334"/>
      <c r="L1191" s="9"/>
    </row>
    <row r="1192" spans="1:11" s="15" customFormat="1" ht="30" customHeight="1">
      <c r="A1192" s="51" t="s">
        <v>18</v>
      </c>
      <c r="B1192" s="37">
        <f>C1192*1.19</f>
        <v>17.849999999999998</v>
      </c>
      <c r="C1192" s="35">
        <v>15</v>
      </c>
      <c r="D1192" s="35"/>
      <c r="E1192" s="95"/>
      <c r="F1192" s="95"/>
      <c r="G1192" s="95"/>
      <c r="H1192" s="296"/>
      <c r="I1192" s="274"/>
      <c r="J1192" s="9"/>
      <c r="K1192" s="335"/>
    </row>
    <row r="1193" spans="1:11" s="15" customFormat="1" ht="30" customHeight="1">
      <c r="A1193" s="57" t="s">
        <v>54</v>
      </c>
      <c r="B1193" s="5">
        <v>8</v>
      </c>
      <c r="C1193" s="35">
        <v>8</v>
      </c>
      <c r="D1193" s="35"/>
      <c r="E1193" s="95"/>
      <c r="F1193" s="95"/>
      <c r="G1193" s="95"/>
      <c r="H1193" s="296"/>
      <c r="I1193" s="274"/>
      <c r="J1193" s="9"/>
      <c r="K1193" s="335"/>
    </row>
    <row r="1194" spans="1:11" s="15" customFormat="1" ht="30" customHeight="1">
      <c r="A1194" s="51" t="s">
        <v>11</v>
      </c>
      <c r="B1194" s="5">
        <v>10</v>
      </c>
      <c r="C1194" s="35">
        <v>10</v>
      </c>
      <c r="D1194" s="35"/>
      <c r="E1194" s="95"/>
      <c r="F1194" s="95"/>
      <c r="G1194" s="95"/>
      <c r="H1194" s="296"/>
      <c r="I1194" s="274"/>
      <c r="J1194" s="9"/>
      <c r="K1194" s="335"/>
    </row>
    <row r="1195" spans="1:11" s="15" customFormat="1" ht="30" customHeight="1">
      <c r="A1195" s="356" t="s">
        <v>229</v>
      </c>
      <c r="B1195" s="23">
        <v>200</v>
      </c>
      <c r="C1195" s="23">
        <v>200</v>
      </c>
      <c r="D1195" s="23">
        <v>200</v>
      </c>
      <c r="E1195" s="44">
        <v>0.5</v>
      </c>
      <c r="F1195" s="110">
        <v>0.1</v>
      </c>
      <c r="G1195" s="110">
        <v>28</v>
      </c>
      <c r="H1195" s="256">
        <f>G1195*4+F1195*9+E1195*4</f>
        <v>114.9</v>
      </c>
      <c r="I1195" s="261" t="s">
        <v>230</v>
      </c>
      <c r="J1195" s="9"/>
      <c r="K1195" s="335"/>
    </row>
    <row r="1196" spans="1:11" s="15" customFormat="1" ht="30" customHeight="1">
      <c r="A1196" s="483" t="s">
        <v>70</v>
      </c>
      <c r="B1196" s="483"/>
      <c r="C1196" s="483"/>
      <c r="D1196" s="483"/>
      <c r="E1196" s="483"/>
      <c r="F1196" s="483"/>
      <c r="G1196" s="483"/>
      <c r="H1196" s="483"/>
      <c r="I1196" s="483"/>
      <c r="J1196" s="9"/>
      <c r="K1196" s="335"/>
    </row>
    <row r="1197" spans="1:11" s="15" customFormat="1" ht="30" customHeight="1">
      <c r="A1197" s="482" t="s">
        <v>342</v>
      </c>
      <c r="B1197" s="478"/>
      <c r="C1197" s="478"/>
      <c r="D1197" s="23">
        <v>200</v>
      </c>
      <c r="E1197" s="44">
        <v>0.2</v>
      </c>
      <c r="F1197" s="44">
        <v>0</v>
      </c>
      <c r="G1197" s="44">
        <v>28.2</v>
      </c>
      <c r="H1197" s="43">
        <f>G1197*4+F1197*9+E1197*4</f>
        <v>113.6</v>
      </c>
      <c r="I1197" s="276" t="s">
        <v>228</v>
      </c>
      <c r="J1197" s="9"/>
      <c r="K1197" s="335"/>
    </row>
    <row r="1198" spans="1:11" s="15" customFormat="1" ht="30" customHeight="1">
      <c r="A1198" s="56" t="s">
        <v>165</v>
      </c>
      <c r="B1198" s="25">
        <f>C1198*1.14</f>
        <v>34.199999999999996</v>
      </c>
      <c r="C1198" s="25">
        <v>30</v>
      </c>
      <c r="D1198" s="23"/>
      <c r="E1198" s="44"/>
      <c r="F1198" s="44"/>
      <c r="G1198" s="44"/>
      <c r="H1198" s="294"/>
      <c r="I1198" s="273"/>
      <c r="J1198" s="9"/>
      <c r="K1198" s="335"/>
    </row>
    <row r="1199" spans="1:11" s="70" customFormat="1" ht="30" customHeight="1">
      <c r="A1199" s="52" t="s">
        <v>174</v>
      </c>
      <c r="B1199" s="181">
        <f>C1199*1.06</f>
        <v>10.600000000000001</v>
      </c>
      <c r="C1199" s="50">
        <v>10</v>
      </c>
      <c r="D1199" s="23"/>
      <c r="E1199" s="147"/>
      <c r="F1199" s="147"/>
      <c r="G1199" s="147"/>
      <c r="H1199" s="265"/>
      <c r="I1199" s="273"/>
      <c r="J1199" s="61"/>
      <c r="K1199" s="334"/>
    </row>
    <row r="1200" spans="1:11" s="70" customFormat="1" ht="30" customHeight="1">
      <c r="A1200" s="52" t="s">
        <v>369</v>
      </c>
      <c r="B1200" s="181">
        <f>C1200*1.06</f>
        <v>10.600000000000001</v>
      </c>
      <c r="C1200" s="50">
        <v>10</v>
      </c>
      <c r="D1200" s="23"/>
      <c r="E1200" s="147"/>
      <c r="F1200" s="147"/>
      <c r="G1200" s="147"/>
      <c r="H1200" s="265"/>
      <c r="I1200" s="273"/>
      <c r="J1200" s="61"/>
      <c r="K1200" s="334"/>
    </row>
    <row r="1201" spans="1:11" s="15" customFormat="1" ht="30" customHeight="1">
      <c r="A1201" s="52" t="s">
        <v>370</v>
      </c>
      <c r="B1201" s="181">
        <f>C1201*1.11</f>
        <v>11.100000000000001</v>
      </c>
      <c r="C1201" s="50">
        <v>10</v>
      </c>
      <c r="D1201" s="23"/>
      <c r="E1201" s="147"/>
      <c r="F1201" s="147"/>
      <c r="G1201" s="147"/>
      <c r="H1201" s="265"/>
      <c r="I1201" s="273"/>
      <c r="J1201" s="9"/>
      <c r="K1201" s="335"/>
    </row>
    <row r="1202" spans="1:11" s="15" customFormat="1" ht="30" customHeight="1">
      <c r="A1202" s="53" t="s">
        <v>4</v>
      </c>
      <c r="B1202" s="25">
        <v>20</v>
      </c>
      <c r="C1202" s="25">
        <v>20</v>
      </c>
      <c r="D1202" s="23"/>
      <c r="E1202" s="44"/>
      <c r="F1202" s="44"/>
      <c r="G1202" s="44"/>
      <c r="H1202" s="294"/>
      <c r="I1202" s="277"/>
      <c r="J1202" s="9"/>
      <c r="K1202" s="335"/>
    </row>
    <row r="1203" spans="1:11" s="15" customFormat="1" ht="30" customHeight="1">
      <c r="A1203" s="354" t="s">
        <v>20</v>
      </c>
      <c r="B1203" s="36">
        <v>60</v>
      </c>
      <c r="C1203" s="36">
        <v>60</v>
      </c>
      <c r="D1203" s="23">
        <v>60</v>
      </c>
      <c r="E1203" s="110">
        <v>2.8</v>
      </c>
      <c r="F1203" s="110">
        <v>0.6</v>
      </c>
      <c r="G1203" s="110">
        <v>26.2</v>
      </c>
      <c r="H1203" s="256">
        <v>122</v>
      </c>
      <c r="I1203" s="278"/>
      <c r="J1203" s="9"/>
      <c r="K1203" s="335"/>
    </row>
    <row r="1204" spans="1:11" s="15" customFormat="1" ht="30" customHeight="1">
      <c r="A1204" s="477" t="s">
        <v>75</v>
      </c>
      <c r="B1204" s="477"/>
      <c r="C1204" s="477"/>
      <c r="D1204" s="39">
        <v>60</v>
      </c>
      <c r="E1204" s="41"/>
      <c r="F1204" s="41"/>
      <c r="G1204" s="41"/>
      <c r="H1204" s="41"/>
      <c r="I1204" s="278"/>
      <c r="J1204" s="9"/>
      <c r="K1204" s="335"/>
    </row>
    <row r="1205" spans="1:11" s="15" customFormat="1" ht="30" customHeight="1">
      <c r="A1205" s="212" t="s">
        <v>26</v>
      </c>
      <c r="B1205" s="36">
        <v>40</v>
      </c>
      <c r="C1205" s="36">
        <v>40</v>
      </c>
      <c r="D1205" s="23">
        <v>40</v>
      </c>
      <c r="E1205" s="110">
        <v>1.4</v>
      </c>
      <c r="F1205" s="110">
        <v>0.4</v>
      </c>
      <c r="G1205" s="110">
        <v>18.8</v>
      </c>
      <c r="H1205" s="256">
        <v>82</v>
      </c>
      <c r="I1205" s="382"/>
      <c r="J1205" s="9"/>
      <c r="K1205" s="335"/>
    </row>
    <row r="1206" spans="1:11" s="15" customFormat="1" ht="30" customHeight="1">
      <c r="A1206" s="475" t="s">
        <v>24</v>
      </c>
      <c r="B1206" s="475"/>
      <c r="C1206" s="475"/>
      <c r="D1206" s="475"/>
      <c r="E1206" s="99">
        <f>E1145+E1124</f>
        <v>48.599999999999994</v>
      </c>
      <c r="F1206" s="99">
        <f>F1145+F1124</f>
        <v>51.949999999999996</v>
      </c>
      <c r="G1206" s="99">
        <f>G1145+G1124</f>
        <v>184.75</v>
      </c>
      <c r="H1206" s="96">
        <f>H1145+H1124</f>
        <v>1398.25</v>
      </c>
      <c r="I1206" s="273"/>
      <c r="J1206" s="9"/>
      <c r="K1206" s="335"/>
    </row>
    <row r="1207" spans="1:11" s="70" customFormat="1" ht="30" customHeight="1">
      <c r="A1207" s="473" t="s">
        <v>196</v>
      </c>
      <c r="B1207" s="474"/>
      <c r="C1207" s="474"/>
      <c r="D1207" s="474"/>
      <c r="E1207" s="383">
        <f>(E728+E817+E930+E1008+E1120+E1206)/6</f>
        <v>45.15833333333333</v>
      </c>
      <c r="F1207" s="383">
        <f>(F728+F817+F930+F1008+F1120+F1206)/6</f>
        <v>46.77083333333332</v>
      </c>
      <c r="G1207" s="383">
        <f>(G728+G817+G930+G1008+G1120+G1206)/6</f>
        <v>184.1361111111111</v>
      </c>
      <c r="H1207" s="383">
        <f>(H728+H817+H930+H1008+H1120+H1206)/6</f>
        <v>1337.9708333333333</v>
      </c>
      <c r="I1207" s="275"/>
      <c r="J1207" s="61"/>
      <c r="K1207" s="334"/>
    </row>
    <row r="1208" spans="1:11" s="70" customFormat="1" ht="30" customHeight="1">
      <c r="A1208" s="473" t="s">
        <v>192</v>
      </c>
      <c r="B1208" s="474"/>
      <c r="C1208" s="474"/>
      <c r="D1208" s="474"/>
      <c r="E1208" s="383" t="s">
        <v>193</v>
      </c>
      <c r="F1208" s="383" t="s">
        <v>194</v>
      </c>
      <c r="G1208" s="383" t="s">
        <v>195</v>
      </c>
      <c r="H1208" s="383" t="s">
        <v>164</v>
      </c>
      <c r="I1208" s="275"/>
      <c r="J1208" s="61"/>
      <c r="K1208" s="334"/>
    </row>
    <row r="1209" spans="1:11" s="70" customFormat="1" ht="30" customHeight="1">
      <c r="A1209" s="473" t="s">
        <v>502</v>
      </c>
      <c r="B1209" s="474"/>
      <c r="C1209" s="474"/>
      <c r="D1209" s="474"/>
      <c r="E1209" s="383">
        <v>77</v>
      </c>
      <c r="F1209" s="383">
        <v>79</v>
      </c>
      <c r="G1209" s="383">
        <v>335</v>
      </c>
      <c r="H1209" s="383">
        <v>2350</v>
      </c>
      <c r="I1209" s="275"/>
      <c r="J1209" s="61"/>
      <c r="K1209" s="334"/>
    </row>
    <row r="1210" spans="1:11" s="70" customFormat="1" ht="30" customHeight="1">
      <c r="A1210" s="508" t="s">
        <v>200</v>
      </c>
      <c r="B1210" s="508"/>
      <c r="C1210" s="508"/>
      <c r="D1210" s="508"/>
      <c r="E1210" s="508"/>
      <c r="F1210" s="508"/>
      <c r="G1210" s="508"/>
      <c r="H1210" s="508"/>
      <c r="I1210" s="508"/>
      <c r="J1210" s="61"/>
      <c r="K1210" s="334"/>
    </row>
    <row r="1211" spans="2:11" s="15" customFormat="1" ht="30" customHeight="1">
      <c r="B1211" s="123"/>
      <c r="C1211" s="167"/>
      <c r="D1211" s="165"/>
      <c r="I1211" s="284"/>
      <c r="J1211" s="9"/>
      <c r="K1211" s="335"/>
    </row>
    <row r="1212" spans="1:11" s="70" customFormat="1" ht="30" customHeight="1">
      <c r="A1212" s="15"/>
      <c r="B1212" s="119"/>
      <c r="C1212" s="167"/>
      <c r="D1212" s="165"/>
      <c r="E1212" s="165"/>
      <c r="F1212" s="165"/>
      <c r="G1212" s="165"/>
      <c r="H1212" s="165"/>
      <c r="I1212" s="284"/>
      <c r="J1212" s="61"/>
      <c r="K1212" s="334"/>
    </row>
    <row r="1213" spans="1:11" s="70" customFormat="1" ht="30" customHeight="1">
      <c r="A1213" s="15"/>
      <c r="B1213" s="119"/>
      <c r="C1213" s="168"/>
      <c r="D1213" s="165"/>
      <c r="E1213" s="15"/>
      <c r="F1213" s="15"/>
      <c r="G1213" s="15"/>
      <c r="H1213" s="15"/>
      <c r="I1213" s="284"/>
      <c r="J1213" s="61"/>
      <c r="K1213" s="334"/>
    </row>
    <row r="1214" spans="2:11" s="15" customFormat="1" ht="30" customHeight="1">
      <c r="B1214" s="119"/>
      <c r="C1214" s="167"/>
      <c r="D1214" s="165"/>
      <c r="I1214" s="284"/>
      <c r="J1214" s="9"/>
      <c r="K1214" s="335"/>
    </row>
    <row r="1215" spans="2:11" s="15" customFormat="1" ht="30" customHeight="1">
      <c r="B1215" s="119"/>
      <c r="D1215" s="165"/>
      <c r="I1215" s="284"/>
      <c r="J1215" s="9"/>
      <c r="K1215" s="335"/>
    </row>
    <row r="1216" spans="1:11" s="15" customFormat="1" ht="30" customHeight="1">
      <c r="A1216" s="218"/>
      <c r="B1216" s="219"/>
      <c r="C1216" s="219"/>
      <c r="D1216" s="162"/>
      <c r="E1216" s="361"/>
      <c r="F1216" s="361"/>
      <c r="G1216" s="361"/>
      <c r="H1216" s="361"/>
      <c r="I1216" s="362"/>
      <c r="J1216" s="9"/>
      <c r="K1216" s="335"/>
    </row>
    <row r="1217" spans="1:11" s="15" customFormat="1" ht="30" customHeight="1">
      <c r="A1217" s="218"/>
      <c r="B1217" s="219"/>
      <c r="C1217" s="219"/>
      <c r="D1217" s="162"/>
      <c r="E1217" s="361"/>
      <c r="F1217" s="361"/>
      <c r="G1217" s="361"/>
      <c r="H1217" s="219"/>
      <c r="I1217" s="362"/>
      <c r="J1217" s="9"/>
      <c r="K1217" s="335"/>
    </row>
    <row r="1218" spans="1:11" s="15" customFormat="1" ht="30" customHeight="1">
      <c r="A1218" s="218"/>
      <c r="B1218" s="219"/>
      <c r="C1218" s="219"/>
      <c r="D1218" s="162"/>
      <c r="E1218" s="361"/>
      <c r="F1218" s="361"/>
      <c r="G1218" s="361"/>
      <c r="H1218" s="219"/>
      <c r="I1218" s="362"/>
      <c r="J1218" s="9"/>
      <c r="K1218" s="335"/>
    </row>
    <row r="1219" spans="1:11" s="15" customFormat="1" ht="30" customHeight="1">
      <c r="A1219" s="218"/>
      <c r="B1219" s="219"/>
      <c r="C1219" s="219"/>
      <c r="D1219" s="162"/>
      <c r="E1219" s="361"/>
      <c r="F1219" s="361"/>
      <c r="G1219" s="361"/>
      <c r="H1219" s="219"/>
      <c r="I1219" s="362"/>
      <c r="J1219" s="9"/>
      <c r="K1219" s="335"/>
    </row>
    <row r="1220" spans="1:11" s="70" customFormat="1" ht="30" customHeight="1">
      <c r="A1220" s="218"/>
      <c r="B1220" s="219"/>
      <c r="C1220" s="219"/>
      <c r="D1220" s="162"/>
      <c r="E1220" s="361"/>
      <c r="F1220" s="361"/>
      <c r="G1220" s="361"/>
      <c r="H1220" s="219"/>
      <c r="I1220" s="362"/>
      <c r="J1220" s="61"/>
      <c r="K1220" s="334"/>
    </row>
    <row r="1221" spans="1:11" s="70" customFormat="1" ht="28.5" customHeight="1">
      <c r="A1221" s="218"/>
      <c r="B1221" s="219"/>
      <c r="C1221" s="219"/>
      <c r="D1221" s="162"/>
      <c r="E1221" s="361"/>
      <c r="F1221" s="361"/>
      <c r="G1221" s="361"/>
      <c r="H1221" s="219"/>
      <c r="I1221" s="362"/>
      <c r="J1221" s="61"/>
      <c r="K1221" s="334"/>
    </row>
    <row r="1222" spans="1:11" s="70" customFormat="1" ht="28.5" customHeight="1">
      <c r="A1222" s="218"/>
      <c r="B1222" s="219"/>
      <c r="C1222" s="219"/>
      <c r="D1222" s="162"/>
      <c r="E1222" s="361"/>
      <c r="F1222" s="361"/>
      <c r="G1222" s="361"/>
      <c r="H1222" s="219"/>
      <c r="I1222" s="362"/>
      <c r="J1222" s="61"/>
      <c r="K1222" s="334"/>
    </row>
    <row r="1223" spans="1:11" s="70" customFormat="1" ht="28.5" customHeight="1">
      <c r="A1223" s="218"/>
      <c r="B1223" s="219"/>
      <c r="C1223" s="219"/>
      <c r="D1223" s="162"/>
      <c r="E1223" s="361"/>
      <c r="F1223" s="361"/>
      <c r="G1223" s="361"/>
      <c r="H1223" s="219"/>
      <c r="I1223" s="362"/>
      <c r="J1223" s="61"/>
      <c r="K1223" s="334"/>
    </row>
    <row r="1224" spans="1:11" s="70" customFormat="1" ht="28.5" customHeight="1">
      <c r="A1224" s="218"/>
      <c r="B1224" s="219"/>
      <c r="C1224" s="219"/>
      <c r="D1224" s="162"/>
      <c r="E1224" s="361"/>
      <c r="F1224" s="361"/>
      <c r="G1224" s="361"/>
      <c r="H1224" s="219"/>
      <c r="I1224" s="362"/>
      <c r="J1224" s="61"/>
      <c r="K1224" s="334"/>
    </row>
    <row r="1225" spans="1:11" s="70" customFormat="1" ht="28.5" customHeight="1">
      <c r="A1225" s="218"/>
      <c r="B1225" s="219"/>
      <c r="C1225" s="219"/>
      <c r="D1225" s="162"/>
      <c r="E1225" s="361"/>
      <c r="F1225" s="361"/>
      <c r="G1225" s="361"/>
      <c r="H1225" s="219"/>
      <c r="I1225" s="362"/>
      <c r="J1225" s="61"/>
      <c r="K1225" s="334"/>
    </row>
    <row r="1226" spans="1:11" s="70" customFormat="1" ht="28.5" customHeight="1">
      <c r="A1226" s="218"/>
      <c r="B1226" s="219"/>
      <c r="C1226" s="219"/>
      <c r="D1226" s="162"/>
      <c r="E1226" s="361"/>
      <c r="F1226" s="361"/>
      <c r="G1226" s="361"/>
      <c r="H1226" s="219"/>
      <c r="I1226" s="362"/>
      <c r="J1226" s="61"/>
      <c r="K1226" s="334"/>
    </row>
    <row r="1227" spans="1:11" s="70" customFormat="1" ht="28.5" customHeight="1">
      <c r="A1227" s="218"/>
      <c r="B1227" s="219"/>
      <c r="C1227" s="219"/>
      <c r="D1227" s="162"/>
      <c r="E1227" s="361"/>
      <c r="F1227" s="361"/>
      <c r="G1227" s="361"/>
      <c r="H1227" s="219"/>
      <c r="I1227" s="362"/>
      <c r="J1227" s="63"/>
      <c r="K1227" s="343"/>
    </row>
    <row r="1228" spans="1:11" s="70" customFormat="1" ht="28.5" customHeight="1">
      <c r="A1228" s="218"/>
      <c r="B1228" s="219"/>
      <c r="C1228" s="219"/>
      <c r="D1228" s="162"/>
      <c r="E1228" s="361"/>
      <c r="F1228" s="361"/>
      <c r="G1228" s="361"/>
      <c r="H1228" s="219"/>
      <c r="I1228" s="362"/>
      <c r="J1228" s="63"/>
      <c r="K1228" s="343"/>
    </row>
    <row r="1229" spans="1:11" s="70" customFormat="1" ht="28.5" customHeight="1">
      <c r="A1229" s="218"/>
      <c r="B1229" s="219"/>
      <c r="C1229" s="219"/>
      <c r="D1229" s="162"/>
      <c r="E1229" s="361"/>
      <c r="F1229" s="361"/>
      <c r="G1229" s="361"/>
      <c r="H1229" s="219"/>
      <c r="I1229" s="362"/>
      <c r="J1229" s="63"/>
      <c r="K1229" s="343"/>
    </row>
    <row r="1230" spans="1:11" s="70" customFormat="1" ht="28.5" customHeight="1">
      <c r="A1230" s="218"/>
      <c r="B1230" s="219"/>
      <c r="C1230" s="219"/>
      <c r="D1230" s="162"/>
      <c r="E1230" s="361"/>
      <c r="F1230" s="361"/>
      <c r="G1230" s="361"/>
      <c r="H1230" s="219"/>
      <c r="I1230" s="362"/>
      <c r="J1230" s="63"/>
      <c r="K1230" s="343"/>
    </row>
    <row r="1231" spans="1:11" s="70" customFormat="1" ht="28.5" customHeight="1">
      <c r="A1231" s="218"/>
      <c r="B1231" s="219"/>
      <c r="C1231" s="219"/>
      <c r="D1231" s="162"/>
      <c r="E1231" s="361"/>
      <c r="F1231" s="361"/>
      <c r="G1231" s="361"/>
      <c r="H1231" s="219"/>
      <c r="I1231" s="362"/>
      <c r="J1231" s="63"/>
      <c r="K1231" s="343"/>
    </row>
    <row r="1232" spans="1:11" s="70" customFormat="1" ht="28.5" customHeight="1">
      <c r="A1232" s="218"/>
      <c r="B1232" s="219"/>
      <c r="C1232" s="219"/>
      <c r="D1232" s="162"/>
      <c r="E1232" s="361"/>
      <c r="F1232" s="361"/>
      <c r="G1232" s="361"/>
      <c r="H1232" s="219"/>
      <c r="I1232" s="362"/>
      <c r="J1232" s="63"/>
      <c r="K1232" s="343"/>
    </row>
    <row r="1233" spans="1:11" s="70" customFormat="1" ht="28.5" customHeight="1">
      <c r="A1233" s="218"/>
      <c r="B1233" s="219"/>
      <c r="C1233" s="219"/>
      <c r="D1233" s="162"/>
      <c r="E1233" s="361"/>
      <c r="F1233" s="361"/>
      <c r="G1233" s="361"/>
      <c r="H1233" s="219"/>
      <c r="I1233" s="362"/>
      <c r="J1233" s="63"/>
      <c r="K1233" s="343"/>
    </row>
    <row r="1234" spans="1:11" s="70" customFormat="1" ht="28.5" customHeight="1">
      <c r="A1234" s="218"/>
      <c r="B1234" s="219"/>
      <c r="C1234" s="219"/>
      <c r="D1234" s="162"/>
      <c r="E1234" s="361"/>
      <c r="F1234" s="361"/>
      <c r="G1234" s="361"/>
      <c r="H1234" s="219"/>
      <c r="I1234" s="362"/>
      <c r="J1234" s="63"/>
      <c r="K1234" s="343"/>
    </row>
    <row r="1235" spans="1:11" s="70" customFormat="1" ht="28.5" customHeight="1">
      <c r="A1235" s="218"/>
      <c r="B1235" s="219"/>
      <c r="C1235" s="219"/>
      <c r="D1235" s="162"/>
      <c r="E1235" s="361"/>
      <c r="F1235" s="361"/>
      <c r="G1235" s="361"/>
      <c r="H1235" s="219"/>
      <c r="I1235" s="362"/>
      <c r="J1235" s="63"/>
      <c r="K1235" s="343"/>
    </row>
    <row r="1236" spans="1:11" s="70" customFormat="1" ht="28.5" customHeight="1">
      <c r="A1236" s="218"/>
      <c r="B1236" s="219"/>
      <c r="C1236" s="219"/>
      <c r="D1236" s="162"/>
      <c r="E1236" s="361"/>
      <c r="F1236" s="361"/>
      <c r="G1236" s="361"/>
      <c r="H1236" s="219"/>
      <c r="I1236" s="362"/>
      <c r="J1236" s="63"/>
      <c r="K1236" s="343"/>
    </row>
    <row r="1237" spans="1:11" s="70" customFormat="1" ht="28.5" customHeight="1">
      <c r="A1237" s="218"/>
      <c r="B1237" s="219"/>
      <c r="C1237" s="219"/>
      <c r="D1237" s="162"/>
      <c r="E1237" s="361"/>
      <c r="F1237" s="361"/>
      <c r="G1237" s="361"/>
      <c r="H1237" s="219"/>
      <c r="I1237" s="362"/>
      <c r="J1237" s="63"/>
      <c r="K1237" s="343"/>
    </row>
    <row r="1238" spans="1:11" s="70" customFormat="1" ht="28.5" customHeight="1">
      <c r="A1238" s="218"/>
      <c r="B1238" s="219"/>
      <c r="C1238" s="219"/>
      <c r="D1238" s="162"/>
      <c r="E1238" s="361"/>
      <c r="F1238" s="361"/>
      <c r="G1238" s="361"/>
      <c r="H1238" s="219"/>
      <c r="I1238" s="362"/>
      <c r="J1238" s="63"/>
      <c r="K1238" s="343"/>
    </row>
    <row r="1239" spans="1:11" s="70" customFormat="1" ht="30" customHeight="1">
      <c r="A1239" s="218"/>
      <c r="B1239" s="219"/>
      <c r="C1239" s="219"/>
      <c r="D1239" s="162"/>
      <c r="E1239" s="361"/>
      <c r="F1239" s="361"/>
      <c r="G1239" s="361"/>
      <c r="H1239" s="219"/>
      <c r="I1239" s="362"/>
      <c r="J1239" s="63"/>
      <c r="K1239" s="343"/>
    </row>
    <row r="1240" spans="1:11" s="70" customFormat="1" ht="30" customHeight="1">
      <c r="A1240" s="218"/>
      <c r="B1240" s="219"/>
      <c r="C1240" s="219"/>
      <c r="D1240" s="162"/>
      <c r="E1240" s="361"/>
      <c r="F1240" s="361"/>
      <c r="G1240" s="361"/>
      <c r="H1240" s="219"/>
      <c r="I1240" s="362"/>
      <c r="J1240" s="63"/>
      <c r="K1240" s="343"/>
    </row>
    <row r="1241" spans="1:11" s="70" customFormat="1" ht="30" customHeight="1">
      <c r="A1241" s="218"/>
      <c r="B1241" s="219"/>
      <c r="C1241" s="219"/>
      <c r="D1241" s="162"/>
      <c r="E1241" s="361"/>
      <c r="F1241" s="361"/>
      <c r="G1241" s="361"/>
      <c r="H1241" s="219"/>
      <c r="I1241" s="362"/>
      <c r="J1241" s="63"/>
      <c r="K1241" s="343"/>
    </row>
    <row r="1242" spans="1:11" s="70" customFormat="1" ht="30" customHeight="1">
      <c r="A1242" s="218"/>
      <c r="B1242" s="219"/>
      <c r="C1242" s="219"/>
      <c r="D1242" s="162"/>
      <c r="E1242" s="361"/>
      <c r="F1242" s="361"/>
      <c r="G1242" s="361"/>
      <c r="H1242" s="219"/>
      <c r="I1242" s="362"/>
      <c r="J1242" s="63"/>
      <c r="K1242" s="343"/>
    </row>
    <row r="1243" spans="1:11" s="70" customFormat="1" ht="30" customHeight="1">
      <c r="A1243" s="218"/>
      <c r="B1243" s="219"/>
      <c r="C1243" s="219"/>
      <c r="D1243" s="162"/>
      <c r="E1243" s="361"/>
      <c r="F1243" s="361"/>
      <c r="G1243" s="361"/>
      <c r="H1243" s="219"/>
      <c r="I1243" s="362"/>
      <c r="J1243" s="63"/>
      <c r="K1243" s="343"/>
    </row>
    <row r="1244" spans="1:11" s="70" customFormat="1" ht="30" customHeight="1">
      <c r="A1244" s="218"/>
      <c r="B1244" s="219"/>
      <c r="C1244" s="219"/>
      <c r="D1244" s="162"/>
      <c r="E1244" s="361"/>
      <c r="F1244" s="361"/>
      <c r="G1244" s="361"/>
      <c r="H1244" s="219"/>
      <c r="I1244" s="362"/>
      <c r="J1244" s="61"/>
      <c r="K1244" s="334"/>
    </row>
    <row r="1245" spans="1:12" s="70" customFormat="1" ht="30" customHeight="1">
      <c r="A1245" s="218"/>
      <c r="B1245" s="219"/>
      <c r="C1245" s="219"/>
      <c r="D1245" s="162"/>
      <c r="E1245" s="361"/>
      <c r="F1245" s="361"/>
      <c r="G1245" s="361"/>
      <c r="H1245" s="219"/>
      <c r="I1245" s="362"/>
      <c r="J1245" s="61"/>
      <c r="K1245" s="334"/>
      <c r="L1245" s="61"/>
    </row>
    <row r="1246" spans="1:12" s="70" customFormat="1" ht="30" customHeight="1">
      <c r="A1246" s="218"/>
      <c r="B1246" s="219"/>
      <c r="C1246" s="219"/>
      <c r="D1246" s="162"/>
      <c r="E1246" s="361"/>
      <c r="F1246" s="361"/>
      <c r="G1246" s="361"/>
      <c r="H1246" s="219"/>
      <c r="I1246" s="362"/>
      <c r="J1246" s="61"/>
      <c r="K1246" s="334"/>
      <c r="L1246" s="61"/>
    </row>
    <row r="1247" spans="1:12" s="70" customFormat="1" ht="30" customHeight="1">
      <c r="A1247" s="218"/>
      <c r="B1247" s="219"/>
      <c r="C1247" s="219"/>
      <c r="D1247" s="162"/>
      <c r="E1247" s="361"/>
      <c r="F1247" s="361"/>
      <c r="G1247" s="361"/>
      <c r="H1247" s="219"/>
      <c r="I1247" s="362"/>
      <c r="J1247" s="61"/>
      <c r="K1247" s="334"/>
      <c r="L1247" s="61"/>
    </row>
    <row r="1248" spans="1:12" s="70" customFormat="1" ht="30" customHeight="1">
      <c r="A1248" s="218"/>
      <c r="B1248" s="219"/>
      <c r="C1248" s="219"/>
      <c r="D1248" s="162"/>
      <c r="E1248" s="361"/>
      <c r="F1248" s="361"/>
      <c r="G1248" s="361"/>
      <c r="H1248" s="219"/>
      <c r="I1248" s="362"/>
      <c r="J1248" s="61"/>
      <c r="K1248" s="334"/>
      <c r="L1248" s="61"/>
    </row>
    <row r="1249" spans="1:12" s="70" customFormat="1" ht="30" customHeight="1">
      <c r="A1249" s="218"/>
      <c r="B1249" s="219"/>
      <c r="C1249" s="219"/>
      <c r="D1249" s="162"/>
      <c r="E1249" s="361"/>
      <c r="F1249" s="361"/>
      <c r="G1249" s="361"/>
      <c r="H1249" s="219"/>
      <c r="I1249" s="362"/>
      <c r="J1249" s="61"/>
      <c r="K1249" s="334"/>
      <c r="L1249" s="61"/>
    </row>
    <row r="1250" spans="1:12" s="70" customFormat="1" ht="30" customHeight="1">
      <c r="A1250" s="218"/>
      <c r="B1250" s="219"/>
      <c r="C1250" s="219"/>
      <c r="D1250" s="162"/>
      <c r="E1250" s="361"/>
      <c r="F1250" s="361"/>
      <c r="G1250" s="361"/>
      <c r="H1250" s="219"/>
      <c r="I1250" s="362"/>
      <c r="J1250" s="61"/>
      <c r="K1250" s="334"/>
      <c r="L1250" s="61"/>
    </row>
    <row r="1251" spans="1:12" s="70" customFormat="1" ht="30" customHeight="1">
      <c r="A1251" s="218"/>
      <c r="B1251" s="219"/>
      <c r="C1251" s="219"/>
      <c r="D1251" s="162"/>
      <c r="E1251" s="361"/>
      <c r="F1251" s="361"/>
      <c r="G1251" s="361"/>
      <c r="H1251" s="219"/>
      <c r="I1251" s="362"/>
      <c r="J1251" s="61"/>
      <c r="K1251" s="334"/>
      <c r="L1251" s="61"/>
    </row>
    <row r="1252" spans="1:12" s="70" customFormat="1" ht="30" customHeight="1">
      <c r="A1252" s="218"/>
      <c r="B1252" s="219"/>
      <c r="C1252" s="219"/>
      <c r="D1252" s="162"/>
      <c r="E1252" s="361"/>
      <c r="F1252" s="361"/>
      <c r="G1252" s="361"/>
      <c r="H1252" s="219"/>
      <c r="I1252" s="362"/>
      <c r="J1252" s="61"/>
      <c r="K1252" s="334"/>
      <c r="L1252" s="61"/>
    </row>
    <row r="1253" spans="1:12" s="70" customFormat="1" ht="30" customHeight="1">
      <c r="A1253" s="218"/>
      <c r="B1253" s="219"/>
      <c r="C1253" s="219"/>
      <c r="D1253" s="162"/>
      <c r="E1253" s="361"/>
      <c r="F1253" s="361"/>
      <c r="G1253" s="361"/>
      <c r="H1253" s="219"/>
      <c r="I1253" s="362"/>
      <c r="J1253" s="61"/>
      <c r="K1253" s="334"/>
      <c r="L1253" s="61"/>
    </row>
    <row r="1254" spans="1:12" s="70" customFormat="1" ht="30" customHeight="1">
      <c r="A1254" s="218"/>
      <c r="B1254" s="219"/>
      <c r="C1254" s="219"/>
      <c r="D1254" s="162"/>
      <c r="E1254" s="361"/>
      <c r="F1254" s="361"/>
      <c r="G1254" s="361"/>
      <c r="H1254" s="219"/>
      <c r="I1254" s="362"/>
      <c r="J1254" s="61"/>
      <c r="K1254" s="334"/>
      <c r="L1254" s="61"/>
    </row>
    <row r="1255" spans="1:12" s="70" customFormat="1" ht="30" customHeight="1">
      <c r="A1255" s="218"/>
      <c r="B1255" s="219"/>
      <c r="C1255" s="219"/>
      <c r="D1255" s="162"/>
      <c r="E1255" s="361"/>
      <c r="F1255" s="361"/>
      <c r="G1255" s="361"/>
      <c r="H1255" s="219"/>
      <c r="I1255" s="362"/>
      <c r="J1255" s="61"/>
      <c r="K1255" s="334"/>
      <c r="L1255" s="61"/>
    </row>
    <row r="1256" spans="1:11" s="70" customFormat="1" ht="30" customHeight="1">
      <c r="A1256" s="218"/>
      <c r="B1256" s="219"/>
      <c r="C1256" s="219"/>
      <c r="D1256" s="162"/>
      <c r="E1256" s="361"/>
      <c r="F1256" s="361"/>
      <c r="G1256" s="361"/>
      <c r="H1256" s="219"/>
      <c r="I1256" s="362"/>
      <c r="K1256" s="363"/>
    </row>
    <row r="1257" spans="1:11" s="70" customFormat="1" ht="30" customHeight="1">
      <c r="A1257" s="218"/>
      <c r="B1257" s="219"/>
      <c r="C1257" s="219"/>
      <c r="D1257" s="162"/>
      <c r="E1257" s="361"/>
      <c r="F1257" s="361"/>
      <c r="G1257" s="361"/>
      <c r="H1257" s="219"/>
      <c r="I1257" s="362"/>
      <c r="K1257" s="363"/>
    </row>
    <row r="1258" spans="1:11" s="70" customFormat="1" ht="30" customHeight="1">
      <c r="A1258" s="218"/>
      <c r="B1258" s="219"/>
      <c r="C1258" s="219"/>
      <c r="D1258" s="162"/>
      <c r="E1258" s="361"/>
      <c r="F1258" s="361"/>
      <c r="G1258" s="361"/>
      <c r="H1258" s="219"/>
      <c r="I1258" s="362"/>
      <c r="K1258" s="363"/>
    </row>
    <row r="1259" spans="1:11" s="70" customFormat="1" ht="30" customHeight="1">
      <c r="A1259" s="218"/>
      <c r="B1259" s="219"/>
      <c r="C1259" s="219"/>
      <c r="D1259" s="162"/>
      <c r="E1259" s="361"/>
      <c r="F1259" s="361"/>
      <c r="G1259" s="361"/>
      <c r="H1259" s="219"/>
      <c r="I1259" s="362"/>
      <c r="K1259" s="363"/>
    </row>
    <row r="1260" spans="1:11" s="70" customFormat="1" ht="30" customHeight="1">
      <c r="A1260" s="218"/>
      <c r="B1260" s="219"/>
      <c r="C1260" s="219"/>
      <c r="D1260" s="162"/>
      <c r="E1260" s="361"/>
      <c r="F1260" s="361"/>
      <c r="G1260" s="361"/>
      <c r="H1260" s="219"/>
      <c r="I1260" s="362"/>
      <c r="K1260" s="363"/>
    </row>
    <row r="1261" spans="1:11" s="70" customFormat="1" ht="30" customHeight="1">
      <c r="A1261" s="218"/>
      <c r="B1261" s="219"/>
      <c r="C1261" s="219"/>
      <c r="D1261" s="162"/>
      <c r="E1261" s="361"/>
      <c r="F1261" s="361"/>
      <c r="G1261" s="361"/>
      <c r="H1261" s="219"/>
      <c r="I1261" s="362"/>
      <c r="K1261" s="363"/>
    </row>
    <row r="1262" spans="1:11" s="70" customFormat="1" ht="30" customHeight="1">
      <c r="A1262" s="218"/>
      <c r="B1262" s="219"/>
      <c r="C1262" s="219"/>
      <c r="D1262" s="162"/>
      <c r="E1262" s="361"/>
      <c r="F1262" s="361"/>
      <c r="G1262" s="361"/>
      <c r="H1262" s="219"/>
      <c r="I1262" s="362"/>
      <c r="K1262" s="363"/>
    </row>
    <row r="1263" spans="1:11" s="70" customFormat="1" ht="30" customHeight="1">
      <c r="A1263" s="218"/>
      <c r="B1263" s="219"/>
      <c r="C1263" s="219"/>
      <c r="D1263" s="162"/>
      <c r="E1263" s="361"/>
      <c r="F1263" s="361"/>
      <c r="G1263" s="361"/>
      <c r="H1263" s="219"/>
      <c r="I1263" s="362"/>
      <c r="K1263" s="363"/>
    </row>
    <row r="1264" spans="1:11" s="70" customFormat="1" ht="30" customHeight="1">
      <c r="A1264" s="218"/>
      <c r="B1264" s="219"/>
      <c r="C1264" s="219"/>
      <c r="D1264" s="162"/>
      <c r="E1264" s="361"/>
      <c r="F1264" s="361"/>
      <c r="G1264" s="361"/>
      <c r="H1264" s="219"/>
      <c r="I1264" s="362"/>
      <c r="K1264" s="363"/>
    </row>
    <row r="1265" spans="1:11" s="70" customFormat="1" ht="30" customHeight="1">
      <c r="A1265" s="218"/>
      <c r="B1265" s="219"/>
      <c r="C1265" s="219"/>
      <c r="D1265" s="162"/>
      <c r="E1265" s="361"/>
      <c r="F1265" s="361"/>
      <c r="G1265" s="361"/>
      <c r="H1265" s="219"/>
      <c r="I1265" s="362"/>
      <c r="K1265" s="363"/>
    </row>
    <row r="1266" spans="1:11" s="70" customFormat="1" ht="30" customHeight="1">
      <c r="A1266" s="218"/>
      <c r="B1266" s="219"/>
      <c r="C1266" s="219"/>
      <c r="D1266" s="162"/>
      <c r="E1266" s="361"/>
      <c r="F1266" s="361"/>
      <c r="G1266" s="361"/>
      <c r="H1266" s="219"/>
      <c r="I1266" s="362"/>
      <c r="K1266" s="363"/>
    </row>
    <row r="1267" spans="1:11" s="70" customFormat="1" ht="30" customHeight="1">
      <c r="A1267" s="218"/>
      <c r="B1267" s="219"/>
      <c r="C1267" s="219"/>
      <c r="D1267" s="162"/>
      <c r="E1267" s="361"/>
      <c r="F1267" s="361"/>
      <c r="G1267" s="361"/>
      <c r="H1267" s="219"/>
      <c r="I1267" s="362"/>
      <c r="K1267" s="363"/>
    </row>
    <row r="1268" spans="1:11" s="70" customFormat="1" ht="30" customHeight="1">
      <c r="A1268" s="218"/>
      <c r="B1268" s="219"/>
      <c r="C1268" s="219"/>
      <c r="D1268" s="162"/>
      <c r="E1268" s="361"/>
      <c r="F1268" s="361"/>
      <c r="G1268" s="361"/>
      <c r="H1268" s="219"/>
      <c r="I1268" s="362"/>
      <c r="K1268" s="363"/>
    </row>
    <row r="1269" spans="1:11" s="70" customFormat="1" ht="30" customHeight="1">
      <c r="A1269" s="218"/>
      <c r="B1269" s="219"/>
      <c r="C1269" s="219"/>
      <c r="D1269" s="162"/>
      <c r="E1269" s="361"/>
      <c r="F1269" s="361"/>
      <c r="G1269" s="361"/>
      <c r="H1269" s="219"/>
      <c r="I1269" s="362"/>
      <c r="K1269" s="363"/>
    </row>
    <row r="1270" spans="1:11" s="70" customFormat="1" ht="30" customHeight="1">
      <c r="A1270" s="218"/>
      <c r="B1270" s="219"/>
      <c r="C1270" s="219"/>
      <c r="D1270" s="162"/>
      <c r="E1270" s="361"/>
      <c r="F1270" s="361"/>
      <c r="G1270" s="361"/>
      <c r="H1270" s="219"/>
      <c r="I1270" s="362"/>
      <c r="K1270" s="363"/>
    </row>
    <row r="1271" spans="1:11" s="70" customFormat="1" ht="30" customHeight="1">
      <c r="A1271" s="218"/>
      <c r="B1271" s="219"/>
      <c r="C1271" s="219"/>
      <c r="D1271" s="162"/>
      <c r="E1271" s="361"/>
      <c r="F1271" s="361"/>
      <c r="G1271" s="361"/>
      <c r="H1271" s="219"/>
      <c r="I1271" s="362"/>
      <c r="K1271" s="363"/>
    </row>
    <row r="1272" spans="1:11" s="70" customFormat="1" ht="30" customHeight="1">
      <c r="A1272" s="218"/>
      <c r="B1272" s="219"/>
      <c r="C1272" s="219"/>
      <c r="D1272" s="162"/>
      <c r="E1272" s="361"/>
      <c r="F1272" s="361"/>
      <c r="G1272" s="361"/>
      <c r="H1272" s="219"/>
      <c r="I1272" s="362"/>
      <c r="K1272" s="363"/>
    </row>
    <row r="1273" spans="1:11" s="70" customFormat="1" ht="30" customHeight="1">
      <c r="A1273" s="218"/>
      <c r="B1273" s="219"/>
      <c r="C1273" s="219"/>
      <c r="D1273" s="162"/>
      <c r="E1273" s="361"/>
      <c r="F1273" s="361"/>
      <c r="G1273" s="361"/>
      <c r="H1273" s="219"/>
      <c r="I1273" s="362"/>
      <c r="K1273" s="363"/>
    </row>
    <row r="1274" spans="1:11" s="70" customFormat="1" ht="30" customHeight="1">
      <c r="A1274" s="218"/>
      <c r="B1274" s="219"/>
      <c r="C1274" s="219"/>
      <c r="D1274" s="162"/>
      <c r="E1274" s="361"/>
      <c r="F1274" s="361"/>
      <c r="G1274" s="361"/>
      <c r="H1274" s="219"/>
      <c r="I1274" s="362"/>
      <c r="K1274" s="363"/>
    </row>
    <row r="1275" spans="1:11" s="70" customFormat="1" ht="30" customHeight="1">
      <c r="A1275" s="218"/>
      <c r="B1275" s="219"/>
      <c r="C1275" s="219"/>
      <c r="D1275" s="162"/>
      <c r="E1275" s="361"/>
      <c r="F1275" s="361"/>
      <c r="G1275" s="361"/>
      <c r="H1275" s="219"/>
      <c r="I1275" s="362"/>
      <c r="K1275" s="363"/>
    </row>
    <row r="1276" spans="1:11" s="70" customFormat="1" ht="30" customHeight="1">
      <c r="A1276" s="218"/>
      <c r="B1276" s="219"/>
      <c r="C1276" s="219"/>
      <c r="D1276" s="162"/>
      <c r="E1276" s="361"/>
      <c r="F1276" s="361"/>
      <c r="G1276" s="361"/>
      <c r="H1276" s="219"/>
      <c r="I1276" s="362"/>
      <c r="K1276" s="363"/>
    </row>
    <row r="1277" spans="1:11" s="70" customFormat="1" ht="30" customHeight="1">
      <c r="A1277" s="218"/>
      <c r="B1277" s="219"/>
      <c r="C1277" s="219"/>
      <c r="D1277" s="162"/>
      <c r="E1277" s="361"/>
      <c r="F1277" s="361"/>
      <c r="G1277" s="361"/>
      <c r="H1277" s="219"/>
      <c r="I1277" s="362"/>
      <c r="K1277" s="363"/>
    </row>
    <row r="1278" spans="1:11" s="70" customFormat="1" ht="30" customHeight="1">
      <c r="A1278" s="218"/>
      <c r="B1278" s="219"/>
      <c r="C1278" s="219"/>
      <c r="D1278" s="162"/>
      <c r="E1278" s="361"/>
      <c r="F1278" s="361"/>
      <c r="G1278" s="361"/>
      <c r="H1278" s="219"/>
      <c r="I1278" s="362"/>
      <c r="K1278" s="363"/>
    </row>
    <row r="1279" spans="1:11" s="70" customFormat="1" ht="30" customHeight="1">
      <c r="A1279" s="218"/>
      <c r="B1279" s="219"/>
      <c r="C1279" s="219"/>
      <c r="D1279" s="162"/>
      <c r="E1279" s="361"/>
      <c r="F1279" s="361"/>
      <c r="G1279" s="361"/>
      <c r="H1279" s="219"/>
      <c r="I1279" s="362"/>
      <c r="K1279" s="363"/>
    </row>
    <row r="1280" spans="1:11" s="70" customFormat="1" ht="30" customHeight="1">
      <c r="A1280" s="218"/>
      <c r="B1280" s="219"/>
      <c r="C1280" s="219"/>
      <c r="D1280" s="162"/>
      <c r="E1280" s="361"/>
      <c r="F1280" s="361"/>
      <c r="G1280" s="361"/>
      <c r="H1280" s="219"/>
      <c r="I1280" s="362"/>
      <c r="K1280" s="363"/>
    </row>
    <row r="1281" spans="1:11" s="70" customFormat="1" ht="30" customHeight="1">
      <c r="A1281" s="218"/>
      <c r="B1281" s="219"/>
      <c r="C1281" s="219"/>
      <c r="D1281" s="162"/>
      <c r="E1281" s="361"/>
      <c r="F1281" s="361"/>
      <c r="G1281" s="361"/>
      <c r="H1281" s="219"/>
      <c r="I1281" s="362"/>
      <c r="K1281" s="363"/>
    </row>
    <row r="1282" spans="1:11" s="70" customFormat="1" ht="30" customHeight="1">
      <c r="A1282" s="218"/>
      <c r="B1282" s="219"/>
      <c r="C1282" s="219"/>
      <c r="D1282" s="162"/>
      <c r="E1282" s="361"/>
      <c r="F1282" s="361"/>
      <c r="G1282" s="361"/>
      <c r="H1282" s="219"/>
      <c r="I1282" s="362"/>
      <c r="K1282" s="363"/>
    </row>
    <row r="1283" spans="1:11" s="70" customFormat="1" ht="30" customHeight="1">
      <c r="A1283" s="218"/>
      <c r="B1283" s="219"/>
      <c r="C1283" s="219"/>
      <c r="D1283" s="162"/>
      <c r="E1283" s="361"/>
      <c r="F1283" s="361"/>
      <c r="G1283" s="361"/>
      <c r="H1283" s="219"/>
      <c r="I1283" s="362"/>
      <c r="K1283" s="363"/>
    </row>
    <row r="1284" spans="1:11" s="70" customFormat="1" ht="30" customHeight="1">
      <c r="A1284" s="218"/>
      <c r="B1284" s="219"/>
      <c r="C1284" s="219"/>
      <c r="D1284" s="162"/>
      <c r="E1284" s="361"/>
      <c r="F1284" s="361"/>
      <c r="G1284" s="361"/>
      <c r="H1284" s="219"/>
      <c r="I1284" s="362"/>
      <c r="K1284" s="363"/>
    </row>
    <row r="1285" spans="1:11" s="70" customFormat="1" ht="30" customHeight="1">
      <c r="A1285" s="218"/>
      <c r="B1285" s="219"/>
      <c r="C1285" s="219"/>
      <c r="D1285" s="162"/>
      <c r="E1285" s="361"/>
      <c r="F1285" s="361"/>
      <c r="G1285" s="361"/>
      <c r="H1285" s="219"/>
      <c r="I1285" s="362"/>
      <c r="K1285" s="363"/>
    </row>
    <row r="1286" spans="1:11" s="70" customFormat="1" ht="30" customHeight="1">
      <c r="A1286" s="218"/>
      <c r="B1286" s="219"/>
      <c r="C1286" s="219"/>
      <c r="D1286" s="162"/>
      <c r="E1286" s="361"/>
      <c r="F1286" s="361"/>
      <c r="G1286" s="361"/>
      <c r="H1286" s="219"/>
      <c r="I1286" s="362"/>
      <c r="K1286" s="363"/>
    </row>
    <row r="1287" spans="1:11" s="70" customFormat="1" ht="30" customHeight="1">
      <c r="A1287" s="218"/>
      <c r="B1287" s="219"/>
      <c r="C1287" s="219"/>
      <c r="D1287" s="162"/>
      <c r="E1287" s="361"/>
      <c r="F1287" s="361"/>
      <c r="G1287" s="361"/>
      <c r="H1287" s="219"/>
      <c r="I1287" s="362"/>
      <c r="K1287" s="363"/>
    </row>
    <row r="1288" spans="1:11" s="70" customFormat="1" ht="30" customHeight="1">
      <c r="A1288" s="218"/>
      <c r="B1288" s="219"/>
      <c r="C1288" s="219"/>
      <c r="D1288" s="162"/>
      <c r="E1288" s="361"/>
      <c r="F1288" s="361"/>
      <c r="G1288" s="361"/>
      <c r="H1288" s="219"/>
      <c r="I1288" s="362"/>
      <c r="K1288" s="363"/>
    </row>
    <row r="1289" spans="1:11" s="70" customFormat="1" ht="30" customHeight="1">
      <c r="A1289" s="218"/>
      <c r="B1289" s="219"/>
      <c r="C1289" s="219"/>
      <c r="D1289" s="162"/>
      <c r="E1289" s="361"/>
      <c r="F1289" s="361"/>
      <c r="G1289" s="361"/>
      <c r="H1289" s="219"/>
      <c r="I1289" s="362"/>
      <c r="K1289" s="363"/>
    </row>
    <row r="1290" spans="1:11" s="70" customFormat="1" ht="30" customHeight="1">
      <c r="A1290" s="218"/>
      <c r="B1290" s="219"/>
      <c r="C1290" s="219"/>
      <c r="D1290" s="162"/>
      <c r="E1290" s="361"/>
      <c r="F1290" s="361"/>
      <c r="G1290" s="361"/>
      <c r="H1290" s="219"/>
      <c r="I1290" s="362"/>
      <c r="K1290" s="363"/>
    </row>
    <row r="1291" spans="1:11" s="70" customFormat="1" ht="30" customHeight="1">
      <c r="A1291" s="218"/>
      <c r="B1291" s="219"/>
      <c r="C1291" s="219"/>
      <c r="D1291" s="162"/>
      <c r="E1291" s="361"/>
      <c r="F1291" s="361"/>
      <c r="G1291" s="361"/>
      <c r="H1291" s="219"/>
      <c r="I1291" s="362"/>
      <c r="K1291" s="363"/>
    </row>
    <row r="1292" spans="1:11" s="70" customFormat="1" ht="30" customHeight="1">
      <c r="A1292" s="218"/>
      <c r="B1292" s="219"/>
      <c r="C1292" s="219"/>
      <c r="D1292" s="162"/>
      <c r="E1292" s="361"/>
      <c r="F1292" s="361"/>
      <c r="G1292" s="361"/>
      <c r="H1292" s="219"/>
      <c r="I1292" s="362"/>
      <c r="K1292" s="363"/>
    </row>
    <row r="1293" spans="1:11" s="70" customFormat="1" ht="30" customHeight="1">
      <c r="A1293" s="218"/>
      <c r="B1293" s="219"/>
      <c r="C1293" s="219"/>
      <c r="D1293" s="162"/>
      <c r="E1293" s="361"/>
      <c r="F1293" s="361"/>
      <c r="G1293" s="361"/>
      <c r="H1293" s="219"/>
      <c r="I1293" s="362"/>
      <c r="K1293" s="363"/>
    </row>
    <row r="1294" spans="1:11" s="70" customFormat="1" ht="30" customHeight="1">
      <c r="A1294" s="218"/>
      <c r="B1294" s="219"/>
      <c r="C1294" s="219"/>
      <c r="D1294" s="162"/>
      <c r="E1294" s="361"/>
      <c r="F1294" s="361"/>
      <c r="G1294" s="361"/>
      <c r="H1294" s="219"/>
      <c r="I1294" s="362"/>
      <c r="K1294" s="363"/>
    </row>
    <row r="1295" spans="1:11" s="70" customFormat="1" ht="30" customHeight="1">
      <c r="A1295" s="218"/>
      <c r="B1295" s="219"/>
      <c r="C1295" s="219"/>
      <c r="D1295" s="162"/>
      <c r="E1295" s="361"/>
      <c r="F1295" s="361"/>
      <c r="G1295" s="361"/>
      <c r="H1295" s="219"/>
      <c r="I1295" s="362"/>
      <c r="K1295" s="363"/>
    </row>
    <row r="1296" spans="1:11" s="70" customFormat="1" ht="30" customHeight="1">
      <c r="A1296" s="218"/>
      <c r="B1296" s="219"/>
      <c r="C1296" s="219"/>
      <c r="D1296" s="162"/>
      <c r="E1296" s="361"/>
      <c r="F1296" s="361"/>
      <c r="G1296" s="361"/>
      <c r="H1296" s="219"/>
      <c r="I1296" s="362"/>
      <c r="K1296" s="363"/>
    </row>
    <row r="1297" spans="1:11" s="70" customFormat="1" ht="30" customHeight="1">
      <c r="A1297" s="218"/>
      <c r="B1297" s="219"/>
      <c r="C1297" s="219"/>
      <c r="D1297" s="162"/>
      <c r="E1297" s="361"/>
      <c r="F1297" s="361"/>
      <c r="G1297" s="361"/>
      <c r="H1297" s="219"/>
      <c r="I1297" s="362"/>
      <c r="K1297" s="363"/>
    </row>
    <row r="1298" spans="1:11" s="70" customFormat="1" ht="30" customHeight="1">
      <c r="A1298" s="218"/>
      <c r="B1298" s="219"/>
      <c r="C1298" s="219"/>
      <c r="D1298" s="162"/>
      <c r="E1298" s="361"/>
      <c r="F1298" s="361"/>
      <c r="G1298" s="361"/>
      <c r="H1298" s="219"/>
      <c r="I1298" s="362"/>
      <c r="K1298" s="363"/>
    </row>
    <row r="1299" spans="1:11" s="70" customFormat="1" ht="30" customHeight="1">
      <c r="A1299" s="218"/>
      <c r="B1299" s="219"/>
      <c r="C1299" s="219"/>
      <c r="D1299" s="162"/>
      <c r="E1299" s="361"/>
      <c r="F1299" s="361"/>
      <c r="G1299" s="361"/>
      <c r="H1299" s="219"/>
      <c r="I1299" s="362"/>
      <c r="K1299" s="363"/>
    </row>
    <row r="1300" spans="1:11" s="70" customFormat="1" ht="30" customHeight="1">
      <c r="A1300" s="218"/>
      <c r="B1300" s="219"/>
      <c r="C1300" s="219"/>
      <c r="D1300" s="162"/>
      <c r="E1300" s="361"/>
      <c r="F1300" s="361"/>
      <c r="G1300" s="361"/>
      <c r="H1300" s="219"/>
      <c r="I1300" s="362"/>
      <c r="K1300" s="363"/>
    </row>
    <row r="1301" spans="1:11" s="70" customFormat="1" ht="30" customHeight="1">
      <c r="A1301" s="218"/>
      <c r="B1301" s="219"/>
      <c r="C1301" s="219"/>
      <c r="D1301" s="162"/>
      <c r="E1301" s="361"/>
      <c r="F1301" s="361"/>
      <c r="G1301" s="361"/>
      <c r="H1301" s="219"/>
      <c r="I1301" s="362"/>
      <c r="K1301" s="363"/>
    </row>
    <row r="1302" spans="1:11" s="70" customFormat="1" ht="30" customHeight="1">
      <c r="A1302" s="218"/>
      <c r="B1302" s="219"/>
      <c r="C1302" s="219"/>
      <c r="D1302" s="162"/>
      <c r="E1302" s="361"/>
      <c r="F1302" s="361"/>
      <c r="G1302" s="361"/>
      <c r="H1302" s="219"/>
      <c r="I1302" s="362"/>
      <c r="K1302" s="363"/>
    </row>
    <row r="1303" spans="1:11" s="70" customFormat="1" ht="30" customHeight="1">
      <c r="A1303" s="218"/>
      <c r="B1303" s="219"/>
      <c r="C1303" s="219"/>
      <c r="D1303" s="162"/>
      <c r="E1303" s="361"/>
      <c r="F1303" s="361"/>
      <c r="G1303" s="361"/>
      <c r="H1303" s="219"/>
      <c r="I1303" s="362"/>
      <c r="K1303" s="363"/>
    </row>
    <row r="1304" spans="1:11" s="70" customFormat="1" ht="30" customHeight="1">
      <c r="A1304" s="218"/>
      <c r="B1304" s="219"/>
      <c r="C1304" s="219"/>
      <c r="D1304" s="162"/>
      <c r="E1304" s="361"/>
      <c r="F1304" s="361"/>
      <c r="G1304" s="361"/>
      <c r="H1304" s="219"/>
      <c r="I1304" s="362"/>
      <c r="K1304" s="363"/>
    </row>
    <row r="1305" spans="1:11" s="70" customFormat="1" ht="30" customHeight="1">
      <c r="A1305" s="218"/>
      <c r="B1305" s="219"/>
      <c r="C1305" s="219"/>
      <c r="D1305" s="162"/>
      <c r="E1305" s="361"/>
      <c r="F1305" s="361"/>
      <c r="G1305" s="361"/>
      <c r="H1305" s="219"/>
      <c r="I1305" s="362"/>
      <c r="K1305" s="363"/>
    </row>
    <row r="1306" spans="1:11" s="70" customFormat="1" ht="30" customHeight="1">
      <c r="A1306" s="218"/>
      <c r="B1306" s="219"/>
      <c r="C1306" s="219"/>
      <c r="D1306" s="162"/>
      <c r="E1306" s="361"/>
      <c r="F1306" s="361"/>
      <c r="G1306" s="361"/>
      <c r="H1306" s="219"/>
      <c r="I1306" s="362"/>
      <c r="K1306" s="363"/>
    </row>
    <row r="1307" spans="1:11" s="70" customFormat="1" ht="30" customHeight="1">
      <c r="A1307" s="218"/>
      <c r="B1307" s="219"/>
      <c r="C1307" s="219"/>
      <c r="D1307" s="162"/>
      <c r="E1307" s="361"/>
      <c r="F1307" s="361"/>
      <c r="G1307" s="361"/>
      <c r="H1307" s="219"/>
      <c r="I1307" s="362"/>
      <c r="K1307" s="363"/>
    </row>
    <row r="1308" spans="1:11" s="70" customFormat="1" ht="30" customHeight="1">
      <c r="A1308" s="218"/>
      <c r="B1308" s="219"/>
      <c r="C1308" s="219"/>
      <c r="D1308" s="162"/>
      <c r="E1308" s="361"/>
      <c r="F1308" s="361"/>
      <c r="G1308" s="361"/>
      <c r="H1308" s="219"/>
      <c r="I1308" s="362"/>
      <c r="K1308" s="363"/>
    </row>
    <row r="1309" spans="1:11" s="70" customFormat="1" ht="30" customHeight="1">
      <c r="A1309" s="218"/>
      <c r="B1309" s="219"/>
      <c r="C1309" s="219"/>
      <c r="D1309" s="162"/>
      <c r="E1309" s="361"/>
      <c r="F1309" s="361"/>
      <c r="G1309" s="361"/>
      <c r="H1309" s="219"/>
      <c r="I1309" s="362"/>
      <c r="K1309" s="363"/>
    </row>
    <row r="1310" spans="1:11" s="70" customFormat="1" ht="30" customHeight="1">
      <c r="A1310" s="218"/>
      <c r="B1310" s="219"/>
      <c r="C1310" s="219"/>
      <c r="D1310" s="162"/>
      <c r="E1310" s="361"/>
      <c r="F1310" s="361"/>
      <c r="G1310" s="361"/>
      <c r="H1310" s="219"/>
      <c r="I1310" s="362"/>
      <c r="K1310" s="363"/>
    </row>
    <row r="1311" spans="1:11" s="70" customFormat="1" ht="30" customHeight="1">
      <c r="A1311" s="218"/>
      <c r="B1311" s="219"/>
      <c r="C1311" s="219"/>
      <c r="D1311" s="162"/>
      <c r="E1311" s="361"/>
      <c r="F1311" s="361"/>
      <c r="G1311" s="361"/>
      <c r="H1311" s="219"/>
      <c r="I1311" s="362"/>
      <c r="K1311" s="363"/>
    </row>
    <row r="1312" spans="1:11" s="70" customFormat="1" ht="30" customHeight="1">
      <c r="A1312" s="218"/>
      <c r="B1312" s="219"/>
      <c r="C1312" s="219"/>
      <c r="D1312" s="162"/>
      <c r="E1312" s="361"/>
      <c r="F1312" s="361"/>
      <c r="G1312" s="361"/>
      <c r="H1312" s="219"/>
      <c r="I1312" s="362"/>
      <c r="K1312" s="363"/>
    </row>
    <row r="1313" spans="1:11" s="70" customFormat="1" ht="30" customHeight="1">
      <c r="A1313" s="218"/>
      <c r="B1313" s="219"/>
      <c r="C1313" s="219"/>
      <c r="D1313" s="162"/>
      <c r="E1313" s="361"/>
      <c r="F1313" s="361"/>
      <c r="G1313" s="361"/>
      <c r="H1313" s="219"/>
      <c r="I1313" s="362"/>
      <c r="K1313" s="363"/>
    </row>
    <row r="1314" spans="1:11" s="70" customFormat="1" ht="30" customHeight="1">
      <c r="A1314" s="218"/>
      <c r="B1314" s="219"/>
      <c r="C1314" s="219"/>
      <c r="D1314" s="162"/>
      <c r="E1314" s="361"/>
      <c r="F1314" s="361"/>
      <c r="G1314" s="361"/>
      <c r="H1314" s="219"/>
      <c r="I1314" s="362"/>
      <c r="K1314" s="363"/>
    </row>
    <row r="1315" spans="1:11" s="70" customFormat="1" ht="30" customHeight="1">
      <c r="A1315" s="218"/>
      <c r="B1315" s="219"/>
      <c r="C1315" s="219"/>
      <c r="D1315" s="162"/>
      <c r="E1315" s="361"/>
      <c r="F1315" s="361"/>
      <c r="G1315" s="361"/>
      <c r="H1315" s="219"/>
      <c r="I1315" s="362"/>
      <c r="K1315" s="363"/>
    </row>
    <row r="1316" spans="1:11" s="70" customFormat="1" ht="30" customHeight="1">
      <c r="A1316" s="218"/>
      <c r="B1316" s="219"/>
      <c r="C1316" s="219"/>
      <c r="D1316" s="162"/>
      <c r="E1316" s="361"/>
      <c r="F1316" s="361"/>
      <c r="G1316" s="361"/>
      <c r="H1316" s="219"/>
      <c r="I1316" s="362"/>
      <c r="K1316" s="363"/>
    </row>
    <row r="1317" spans="1:11" s="70" customFormat="1" ht="30" customHeight="1">
      <c r="A1317" s="218"/>
      <c r="B1317" s="219"/>
      <c r="C1317" s="219"/>
      <c r="D1317" s="162"/>
      <c r="E1317" s="361"/>
      <c r="F1317" s="361"/>
      <c r="G1317" s="361"/>
      <c r="H1317" s="219"/>
      <c r="I1317" s="362"/>
      <c r="K1317" s="363"/>
    </row>
    <row r="1318" spans="1:11" s="70" customFormat="1" ht="30" customHeight="1">
      <c r="A1318" s="218"/>
      <c r="B1318" s="219"/>
      <c r="C1318" s="219"/>
      <c r="D1318" s="162"/>
      <c r="E1318" s="361"/>
      <c r="F1318" s="361"/>
      <c r="G1318" s="361"/>
      <c r="H1318" s="219"/>
      <c r="I1318" s="362"/>
      <c r="K1318" s="363"/>
    </row>
    <row r="1319" spans="1:11" s="70" customFormat="1" ht="30" customHeight="1">
      <c r="A1319" s="218"/>
      <c r="B1319" s="219"/>
      <c r="C1319" s="219"/>
      <c r="D1319" s="162"/>
      <c r="E1319" s="361"/>
      <c r="F1319" s="361"/>
      <c r="G1319" s="361"/>
      <c r="H1319" s="219"/>
      <c r="I1319" s="362"/>
      <c r="K1319" s="363"/>
    </row>
    <row r="1320" spans="1:11" s="70" customFormat="1" ht="30" customHeight="1">
      <c r="A1320" s="218"/>
      <c r="B1320" s="219"/>
      <c r="C1320" s="219"/>
      <c r="D1320" s="162"/>
      <c r="E1320" s="361"/>
      <c r="F1320" s="361"/>
      <c r="G1320" s="361"/>
      <c r="H1320" s="219"/>
      <c r="I1320" s="362"/>
      <c r="K1320" s="363"/>
    </row>
    <row r="1321" spans="1:11" s="70" customFormat="1" ht="30" customHeight="1">
      <c r="A1321" s="218"/>
      <c r="B1321" s="219"/>
      <c r="C1321" s="219"/>
      <c r="D1321" s="162"/>
      <c r="E1321" s="361"/>
      <c r="F1321" s="361"/>
      <c r="G1321" s="361"/>
      <c r="H1321" s="219"/>
      <c r="I1321" s="362"/>
      <c r="K1321" s="363"/>
    </row>
    <row r="1322" spans="1:11" s="70" customFormat="1" ht="30" customHeight="1">
      <c r="A1322" s="218"/>
      <c r="B1322" s="219"/>
      <c r="C1322" s="219"/>
      <c r="D1322" s="162"/>
      <c r="E1322" s="361"/>
      <c r="F1322" s="361"/>
      <c r="G1322" s="361"/>
      <c r="H1322" s="219"/>
      <c r="I1322" s="362"/>
      <c r="K1322" s="363"/>
    </row>
    <row r="1323" spans="1:11" s="70" customFormat="1" ht="30" customHeight="1">
      <c r="A1323" s="218"/>
      <c r="B1323" s="219"/>
      <c r="C1323" s="219"/>
      <c r="D1323" s="162"/>
      <c r="E1323" s="361"/>
      <c r="F1323" s="361"/>
      <c r="G1323" s="361"/>
      <c r="H1323" s="219"/>
      <c r="I1323" s="362"/>
      <c r="K1323" s="363"/>
    </row>
    <row r="1324" spans="1:11" s="70" customFormat="1" ht="30" customHeight="1">
      <c r="A1324" s="218"/>
      <c r="B1324" s="219"/>
      <c r="C1324" s="219"/>
      <c r="D1324" s="162"/>
      <c r="E1324" s="361"/>
      <c r="F1324" s="361"/>
      <c r="G1324" s="361"/>
      <c r="H1324" s="219"/>
      <c r="I1324" s="362"/>
      <c r="K1324" s="363"/>
    </row>
    <row r="1325" spans="1:11" s="70" customFormat="1" ht="30" customHeight="1">
      <c r="A1325" s="218"/>
      <c r="B1325" s="219"/>
      <c r="C1325" s="219"/>
      <c r="D1325" s="162"/>
      <c r="E1325" s="361"/>
      <c r="F1325" s="361"/>
      <c r="G1325" s="361"/>
      <c r="H1325" s="219"/>
      <c r="I1325" s="362"/>
      <c r="K1325" s="363"/>
    </row>
    <row r="1326" spans="1:11" s="70" customFormat="1" ht="30" customHeight="1">
      <c r="A1326" s="218"/>
      <c r="B1326" s="219"/>
      <c r="C1326" s="219"/>
      <c r="D1326" s="162"/>
      <c r="E1326" s="361"/>
      <c r="F1326" s="361"/>
      <c r="G1326" s="361"/>
      <c r="H1326" s="219"/>
      <c r="I1326" s="362"/>
      <c r="K1326" s="363"/>
    </row>
    <row r="1327" spans="1:11" s="70" customFormat="1" ht="30" customHeight="1">
      <c r="A1327" s="218"/>
      <c r="B1327" s="219"/>
      <c r="C1327" s="219"/>
      <c r="D1327" s="162"/>
      <c r="E1327" s="361"/>
      <c r="F1327" s="361"/>
      <c r="G1327" s="361"/>
      <c r="H1327" s="219"/>
      <c r="I1327" s="362"/>
      <c r="K1327" s="363"/>
    </row>
    <row r="1328" spans="1:11" s="70" customFormat="1" ht="30" customHeight="1">
      <c r="A1328" s="218"/>
      <c r="B1328" s="219"/>
      <c r="C1328" s="219"/>
      <c r="D1328" s="162"/>
      <c r="E1328" s="361"/>
      <c r="F1328" s="361"/>
      <c r="G1328" s="361"/>
      <c r="H1328" s="219"/>
      <c r="I1328" s="362"/>
      <c r="K1328" s="363"/>
    </row>
    <row r="1329" spans="1:11" s="70" customFormat="1" ht="30" customHeight="1">
      <c r="A1329" s="218"/>
      <c r="B1329" s="219"/>
      <c r="C1329" s="219"/>
      <c r="D1329" s="162"/>
      <c r="E1329" s="361"/>
      <c r="F1329" s="361"/>
      <c r="G1329" s="361"/>
      <c r="H1329" s="219"/>
      <c r="I1329" s="362"/>
      <c r="K1329" s="363"/>
    </row>
    <row r="1330" spans="1:11" s="70" customFormat="1" ht="30" customHeight="1">
      <c r="A1330" s="218"/>
      <c r="B1330" s="219"/>
      <c r="C1330" s="219"/>
      <c r="D1330" s="162"/>
      <c r="E1330" s="361"/>
      <c r="F1330" s="361"/>
      <c r="G1330" s="361"/>
      <c r="H1330" s="219"/>
      <c r="I1330" s="362"/>
      <c r="K1330" s="363"/>
    </row>
    <row r="1331" spans="1:11" s="70" customFormat="1" ht="30" customHeight="1">
      <c r="A1331" s="218"/>
      <c r="B1331" s="219"/>
      <c r="C1331" s="219"/>
      <c r="D1331" s="162"/>
      <c r="E1331" s="361"/>
      <c r="F1331" s="361"/>
      <c r="G1331" s="361"/>
      <c r="H1331" s="219"/>
      <c r="I1331" s="362"/>
      <c r="K1331" s="363"/>
    </row>
    <row r="1332" spans="1:11" s="70" customFormat="1" ht="30" customHeight="1">
      <c r="A1332" s="218"/>
      <c r="B1332" s="219"/>
      <c r="C1332" s="219"/>
      <c r="D1332" s="162"/>
      <c r="E1332" s="361"/>
      <c r="F1332" s="361"/>
      <c r="G1332" s="361"/>
      <c r="H1332" s="219"/>
      <c r="I1332" s="362"/>
      <c r="K1332" s="363"/>
    </row>
    <row r="1333" spans="1:11" s="70" customFormat="1" ht="30" customHeight="1">
      <c r="A1333" s="218"/>
      <c r="B1333" s="219"/>
      <c r="C1333" s="219"/>
      <c r="D1333" s="162"/>
      <c r="E1333" s="361"/>
      <c r="F1333" s="361"/>
      <c r="G1333" s="361"/>
      <c r="H1333" s="219"/>
      <c r="I1333" s="362"/>
      <c r="K1333" s="363"/>
    </row>
    <row r="1334" spans="1:11" s="70" customFormat="1" ht="30" customHeight="1">
      <c r="A1334" s="218"/>
      <c r="B1334" s="219"/>
      <c r="C1334" s="219"/>
      <c r="D1334" s="162"/>
      <c r="E1334" s="361"/>
      <c r="F1334" s="361"/>
      <c r="G1334" s="361"/>
      <c r="H1334" s="219"/>
      <c r="I1334" s="362"/>
      <c r="K1334" s="363"/>
    </row>
    <row r="1335" spans="1:11" s="70" customFormat="1" ht="30" customHeight="1">
      <c r="A1335" s="218"/>
      <c r="B1335" s="219"/>
      <c r="C1335" s="219"/>
      <c r="D1335" s="162"/>
      <c r="E1335" s="361"/>
      <c r="F1335" s="361"/>
      <c r="G1335" s="361"/>
      <c r="H1335" s="219"/>
      <c r="I1335" s="362"/>
      <c r="K1335" s="363"/>
    </row>
    <row r="1336" spans="1:11" s="70" customFormat="1" ht="30" customHeight="1">
      <c r="A1336" s="218"/>
      <c r="B1336" s="219"/>
      <c r="C1336" s="219"/>
      <c r="D1336" s="162"/>
      <c r="E1336" s="361"/>
      <c r="F1336" s="361"/>
      <c r="G1336" s="361"/>
      <c r="H1336" s="219"/>
      <c r="I1336" s="362"/>
      <c r="K1336" s="363"/>
    </row>
    <row r="1337" spans="1:11" s="70" customFormat="1" ht="30" customHeight="1">
      <c r="A1337" s="218"/>
      <c r="B1337" s="219"/>
      <c r="C1337" s="219"/>
      <c r="D1337" s="162"/>
      <c r="E1337" s="361"/>
      <c r="F1337" s="361"/>
      <c r="G1337" s="361"/>
      <c r="H1337" s="219"/>
      <c r="I1337" s="362"/>
      <c r="K1337" s="363"/>
    </row>
    <row r="1338" spans="1:11" s="70" customFormat="1" ht="30" customHeight="1">
      <c r="A1338" s="218"/>
      <c r="B1338" s="219"/>
      <c r="C1338" s="219"/>
      <c r="D1338" s="162"/>
      <c r="E1338" s="361"/>
      <c r="F1338" s="361"/>
      <c r="G1338" s="361"/>
      <c r="H1338" s="219"/>
      <c r="I1338" s="362"/>
      <c r="K1338" s="363"/>
    </row>
    <row r="1339" spans="1:11" s="70" customFormat="1" ht="30" customHeight="1">
      <c r="A1339" s="218"/>
      <c r="B1339" s="219"/>
      <c r="C1339" s="219"/>
      <c r="D1339" s="162"/>
      <c r="E1339" s="361"/>
      <c r="F1339" s="361"/>
      <c r="G1339" s="361"/>
      <c r="H1339" s="219"/>
      <c r="I1339" s="362"/>
      <c r="K1339" s="363"/>
    </row>
    <row r="1340" spans="1:11" s="70" customFormat="1" ht="30" customHeight="1">
      <c r="A1340" s="218"/>
      <c r="B1340" s="219"/>
      <c r="C1340" s="219"/>
      <c r="D1340" s="162"/>
      <c r="E1340" s="361"/>
      <c r="F1340" s="361"/>
      <c r="G1340" s="361"/>
      <c r="H1340" s="219"/>
      <c r="I1340" s="362"/>
      <c r="K1340" s="363"/>
    </row>
    <row r="1341" spans="1:11" s="70" customFormat="1" ht="30" customHeight="1">
      <c r="A1341" s="218"/>
      <c r="B1341" s="219"/>
      <c r="C1341" s="219"/>
      <c r="D1341" s="162"/>
      <c r="E1341" s="361"/>
      <c r="F1341" s="361"/>
      <c r="G1341" s="361"/>
      <c r="H1341" s="219"/>
      <c r="I1341" s="362"/>
      <c r="K1341" s="363"/>
    </row>
    <row r="1342" spans="1:11" s="70" customFormat="1" ht="30" customHeight="1">
      <c r="A1342" s="218"/>
      <c r="B1342" s="219"/>
      <c r="C1342" s="219"/>
      <c r="D1342" s="162"/>
      <c r="E1342" s="361"/>
      <c r="F1342" s="361"/>
      <c r="G1342" s="361"/>
      <c r="H1342" s="219"/>
      <c r="I1342" s="362"/>
      <c r="K1342" s="363"/>
    </row>
    <row r="1343" spans="1:11" s="70" customFormat="1" ht="30" customHeight="1">
      <c r="A1343" s="218"/>
      <c r="B1343" s="219"/>
      <c r="C1343" s="219"/>
      <c r="D1343" s="162"/>
      <c r="E1343" s="361"/>
      <c r="F1343" s="361"/>
      <c r="G1343" s="361"/>
      <c r="H1343" s="219"/>
      <c r="I1343" s="362"/>
      <c r="K1343" s="363"/>
    </row>
    <row r="1344" spans="1:11" s="70" customFormat="1" ht="30" customHeight="1">
      <c r="A1344" s="218"/>
      <c r="B1344" s="219"/>
      <c r="C1344" s="219"/>
      <c r="D1344" s="162"/>
      <c r="E1344" s="361"/>
      <c r="F1344" s="361"/>
      <c r="G1344" s="361"/>
      <c r="H1344" s="219"/>
      <c r="I1344" s="362"/>
      <c r="K1344" s="363"/>
    </row>
    <row r="1345" spans="1:11" s="70" customFormat="1" ht="30" customHeight="1">
      <c r="A1345" s="218"/>
      <c r="B1345" s="219"/>
      <c r="C1345" s="219"/>
      <c r="D1345" s="162"/>
      <c r="E1345" s="361"/>
      <c r="F1345" s="361"/>
      <c r="G1345" s="361"/>
      <c r="H1345" s="219"/>
      <c r="I1345" s="362"/>
      <c r="K1345" s="363"/>
    </row>
    <row r="1346" spans="1:11" s="70" customFormat="1" ht="30" customHeight="1">
      <c r="A1346" s="218"/>
      <c r="B1346" s="219"/>
      <c r="C1346" s="219"/>
      <c r="D1346" s="162"/>
      <c r="E1346" s="361"/>
      <c r="F1346" s="361"/>
      <c r="G1346" s="361"/>
      <c r="H1346" s="219"/>
      <c r="I1346" s="362"/>
      <c r="K1346" s="363"/>
    </row>
    <row r="1347" spans="1:11" s="70" customFormat="1" ht="30" customHeight="1">
      <c r="A1347" s="218"/>
      <c r="B1347" s="219"/>
      <c r="C1347" s="219"/>
      <c r="D1347" s="162"/>
      <c r="E1347" s="361"/>
      <c r="F1347" s="361"/>
      <c r="G1347" s="361"/>
      <c r="H1347" s="219"/>
      <c r="I1347" s="362"/>
      <c r="K1347" s="363"/>
    </row>
    <row r="1348" spans="1:11" s="70" customFormat="1" ht="30" customHeight="1">
      <c r="A1348" s="218"/>
      <c r="B1348" s="219"/>
      <c r="C1348" s="219"/>
      <c r="D1348" s="162"/>
      <c r="E1348" s="361"/>
      <c r="F1348" s="361"/>
      <c r="G1348" s="361"/>
      <c r="H1348" s="219"/>
      <c r="I1348" s="362"/>
      <c r="K1348" s="363"/>
    </row>
    <row r="1349" spans="1:11" s="70" customFormat="1" ht="30" customHeight="1">
      <c r="A1349" s="218"/>
      <c r="B1349" s="219"/>
      <c r="C1349" s="219"/>
      <c r="D1349" s="162"/>
      <c r="E1349" s="361"/>
      <c r="F1349" s="361"/>
      <c r="G1349" s="361"/>
      <c r="H1349" s="219"/>
      <c r="I1349" s="362"/>
      <c r="K1349" s="363"/>
    </row>
    <row r="1350" spans="1:11" s="70" customFormat="1" ht="30" customHeight="1">
      <c r="A1350" s="218"/>
      <c r="B1350" s="219"/>
      <c r="C1350" s="219"/>
      <c r="D1350" s="162"/>
      <c r="E1350" s="361"/>
      <c r="F1350" s="361"/>
      <c r="G1350" s="361"/>
      <c r="H1350" s="219"/>
      <c r="I1350" s="362"/>
      <c r="K1350" s="363"/>
    </row>
    <row r="1351" spans="1:11" s="70" customFormat="1" ht="30" customHeight="1">
      <c r="A1351" s="218"/>
      <c r="B1351" s="219"/>
      <c r="C1351" s="219"/>
      <c r="D1351" s="162"/>
      <c r="E1351" s="361"/>
      <c r="F1351" s="361"/>
      <c r="G1351" s="361"/>
      <c r="H1351" s="219"/>
      <c r="I1351" s="362"/>
      <c r="K1351" s="363"/>
    </row>
    <row r="1352" spans="1:11" s="70" customFormat="1" ht="30" customHeight="1">
      <c r="A1352" s="218"/>
      <c r="B1352" s="219"/>
      <c r="C1352" s="219"/>
      <c r="D1352" s="162"/>
      <c r="E1352" s="361"/>
      <c r="F1352" s="361"/>
      <c r="G1352" s="361"/>
      <c r="H1352" s="219"/>
      <c r="I1352" s="362"/>
      <c r="K1352" s="363"/>
    </row>
    <row r="1353" spans="1:11" s="70" customFormat="1" ht="30" customHeight="1">
      <c r="A1353" s="218"/>
      <c r="B1353" s="219"/>
      <c r="C1353" s="219"/>
      <c r="D1353" s="162"/>
      <c r="E1353" s="361"/>
      <c r="F1353" s="361"/>
      <c r="G1353" s="361"/>
      <c r="H1353" s="219"/>
      <c r="I1353" s="362"/>
      <c r="K1353" s="363"/>
    </row>
    <row r="1354" spans="1:11" s="70" customFormat="1" ht="30" customHeight="1">
      <c r="A1354" s="218"/>
      <c r="B1354" s="219"/>
      <c r="C1354" s="219"/>
      <c r="D1354" s="162"/>
      <c r="E1354" s="361"/>
      <c r="F1354" s="361"/>
      <c r="G1354" s="361"/>
      <c r="H1354" s="219"/>
      <c r="I1354" s="362"/>
      <c r="K1354" s="363"/>
    </row>
    <row r="1355" spans="1:11" s="70" customFormat="1" ht="30" customHeight="1">
      <c r="A1355" s="218"/>
      <c r="B1355" s="219"/>
      <c r="C1355" s="219"/>
      <c r="D1355" s="162"/>
      <c r="E1355" s="361"/>
      <c r="F1355" s="361"/>
      <c r="G1355" s="361"/>
      <c r="H1355" s="219"/>
      <c r="I1355" s="362"/>
      <c r="K1355" s="363"/>
    </row>
    <row r="1356" spans="1:11" s="70" customFormat="1" ht="30" customHeight="1">
      <c r="A1356" s="218"/>
      <c r="B1356" s="219"/>
      <c r="C1356" s="219"/>
      <c r="D1356" s="162"/>
      <c r="E1356" s="361"/>
      <c r="F1356" s="361"/>
      <c r="G1356" s="361"/>
      <c r="H1356" s="219"/>
      <c r="I1356" s="362"/>
      <c r="K1356" s="363"/>
    </row>
    <row r="1357" spans="1:11" s="70" customFormat="1" ht="30" customHeight="1">
      <c r="A1357" s="218"/>
      <c r="B1357" s="219"/>
      <c r="C1357" s="219"/>
      <c r="D1357" s="162"/>
      <c r="E1357" s="361"/>
      <c r="F1357" s="361"/>
      <c r="G1357" s="361"/>
      <c r="H1357" s="219"/>
      <c r="I1357" s="362"/>
      <c r="K1357" s="363"/>
    </row>
    <row r="1358" spans="1:11" s="70" customFormat="1" ht="30" customHeight="1">
      <c r="A1358" s="218"/>
      <c r="B1358" s="219"/>
      <c r="C1358" s="219"/>
      <c r="D1358" s="162"/>
      <c r="E1358" s="361"/>
      <c r="F1358" s="361"/>
      <c r="G1358" s="361"/>
      <c r="H1358" s="219"/>
      <c r="I1358" s="362"/>
      <c r="K1358" s="363"/>
    </row>
    <row r="1359" spans="1:11" s="70" customFormat="1" ht="30" customHeight="1">
      <c r="A1359" s="218"/>
      <c r="B1359" s="219"/>
      <c r="C1359" s="219"/>
      <c r="D1359" s="162"/>
      <c r="E1359" s="361"/>
      <c r="F1359" s="361"/>
      <c r="G1359" s="361"/>
      <c r="H1359" s="219"/>
      <c r="I1359" s="362"/>
      <c r="K1359" s="363"/>
    </row>
    <row r="1360" spans="1:11" s="70" customFormat="1" ht="30" customHeight="1">
      <c r="A1360" s="218"/>
      <c r="B1360" s="219"/>
      <c r="C1360" s="219"/>
      <c r="D1360" s="162"/>
      <c r="E1360" s="361"/>
      <c r="F1360" s="361"/>
      <c r="G1360" s="361"/>
      <c r="H1360" s="219"/>
      <c r="I1360" s="362"/>
      <c r="K1360" s="363"/>
    </row>
    <row r="1361" spans="1:11" s="70" customFormat="1" ht="30" customHeight="1">
      <c r="A1361" s="218"/>
      <c r="B1361" s="219"/>
      <c r="C1361" s="219"/>
      <c r="D1361" s="162"/>
      <c r="E1361" s="361"/>
      <c r="F1361" s="361"/>
      <c r="G1361" s="361"/>
      <c r="H1361" s="219"/>
      <c r="I1361" s="362"/>
      <c r="K1361" s="363"/>
    </row>
    <row r="1362" spans="1:11" s="70" customFormat="1" ht="30" customHeight="1">
      <c r="A1362" s="218"/>
      <c r="B1362" s="219"/>
      <c r="C1362" s="219"/>
      <c r="D1362" s="162"/>
      <c r="E1362" s="361"/>
      <c r="F1362" s="361"/>
      <c r="G1362" s="361"/>
      <c r="H1362" s="219"/>
      <c r="I1362" s="362"/>
      <c r="K1362" s="363"/>
    </row>
    <row r="1363" spans="1:11" s="70" customFormat="1" ht="30" customHeight="1">
      <c r="A1363" s="218"/>
      <c r="B1363" s="219"/>
      <c r="C1363" s="219"/>
      <c r="D1363" s="162"/>
      <c r="E1363" s="361"/>
      <c r="F1363" s="361"/>
      <c r="G1363" s="361"/>
      <c r="H1363" s="219"/>
      <c r="I1363" s="362"/>
      <c r="K1363" s="363"/>
    </row>
    <row r="1364" spans="1:11" s="70" customFormat="1" ht="30" customHeight="1">
      <c r="A1364" s="218"/>
      <c r="B1364" s="219"/>
      <c r="C1364" s="219"/>
      <c r="D1364" s="162"/>
      <c r="E1364" s="361"/>
      <c r="F1364" s="361"/>
      <c r="G1364" s="361"/>
      <c r="H1364" s="219"/>
      <c r="I1364" s="362"/>
      <c r="K1364" s="363"/>
    </row>
    <row r="1365" spans="1:11" s="70" customFormat="1" ht="30" customHeight="1">
      <c r="A1365" s="218"/>
      <c r="B1365" s="219"/>
      <c r="C1365" s="219"/>
      <c r="D1365" s="162"/>
      <c r="E1365" s="361"/>
      <c r="F1365" s="361"/>
      <c r="G1365" s="361"/>
      <c r="H1365" s="219"/>
      <c r="I1365" s="362"/>
      <c r="K1365" s="363"/>
    </row>
    <row r="1366" spans="1:11" s="70" customFormat="1" ht="30" customHeight="1">
      <c r="A1366" s="218"/>
      <c r="B1366" s="219"/>
      <c r="C1366" s="219"/>
      <c r="D1366" s="162"/>
      <c r="E1366" s="361"/>
      <c r="F1366" s="361"/>
      <c r="G1366" s="361"/>
      <c r="H1366" s="219"/>
      <c r="I1366" s="362"/>
      <c r="K1366" s="363"/>
    </row>
    <row r="1367" spans="1:11" s="70" customFormat="1" ht="30" customHeight="1">
      <c r="A1367" s="218"/>
      <c r="B1367" s="219"/>
      <c r="C1367" s="219"/>
      <c r="D1367" s="162"/>
      <c r="E1367" s="361"/>
      <c r="F1367" s="361"/>
      <c r="G1367" s="361"/>
      <c r="H1367" s="219"/>
      <c r="I1367" s="362"/>
      <c r="K1367" s="363"/>
    </row>
    <row r="1368" spans="1:11" s="70" customFormat="1" ht="30" customHeight="1">
      <c r="A1368" s="218"/>
      <c r="B1368" s="219"/>
      <c r="C1368" s="219"/>
      <c r="D1368" s="162"/>
      <c r="E1368" s="361"/>
      <c r="F1368" s="361"/>
      <c r="G1368" s="361"/>
      <c r="H1368" s="219"/>
      <c r="I1368" s="362"/>
      <c r="K1368" s="363"/>
    </row>
    <row r="1369" spans="1:11" s="70" customFormat="1" ht="30" customHeight="1">
      <c r="A1369" s="218"/>
      <c r="B1369" s="219"/>
      <c r="C1369" s="219"/>
      <c r="D1369" s="162"/>
      <c r="E1369" s="361"/>
      <c r="F1369" s="361"/>
      <c r="G1369" s="361"/>
      <c r="H1369" s="219"/>
      <c r="I1369" s="362"/>
      <c r="K1369" s="363"/>
    </row>
    <row r="1370" spans="1:11" s="70" customFormat="1" ht="30" customHeight="1">
      <c r="A1370" s="218"/>
      <c r="B1370" s="219"/>
      <c r="C1370" s="219"/>
      <c r="D1370" s="162"/>
      <c r="E1370" s="361"/>
      <c r="F1370" s="361"/>
      <c r="G1370" s="361"/>
      <c r="H1370" s="219"/>
      <c r="I1370" s="362"/>
      <c r="K1370" s="363"/>
    </row>
    <row r="1371" spans="1:11" s="70" customFormat="1" ht="30" customHeight="1">
      <c r="A1371" s="218"/>
      <c r="B1371" s="219"/>
      <c r="C1371" s="219"/>
      <c r="D1371" s="162"/>
      <c r="E1371" s="361"/>
      <c r="F1371" s="361"/>
      <c r="G1371" s="361"/>
      <c r="H1371" s="219"/>
      <c r="I1371" s="362"/>
      <c r="K1371" s="363"/>
    </row>
    <row r="1372" spans="1:11" s="70" customFormat="1" ht="30" customHeight="1">
      <c r="A1372" s="218"/>
      <c r="B1372" s="219"/>
      <c r="C1372" s="219"/>
      <c r="D1372" s="162"/>
      <c r="E1372" s="361"/>
      <c r="F1372" s="361"/>
      <c r="G1372" s="361"/>
      <c r="H1372" s="219"/>
      <c r="I1372" s="362"/>
      <c r="K1372" s="363"/>
    </row>
    <row r="1373" spans="1:11" s="70" customFormat="1" ht="30" customHeight="1">
      <c r="A1373" s="218"/>
      <c r="B1373" s="219"/>
      <c r="C1373" s="219"/>
      <c r="D1373" s="162"/>
      <c r="E1373" s="361"/>
      <c r="F1373" s="361"/>
      <c r="G1373" s="361"/>
      <c r="H1373" s="219"/>
      <c r="I1373" s="362"/>
      <c r="K1373" s="363"/>
    </row>
    <row r="1374" spans="1:11" s="70" customFormat="1" ht="30" customHeight="1">
      <c r="A1374" s="218"/>
      <c r="B1374" s="219"/>
      <c r="C1374" s="219"/>
      <c r="D1374" s="162"/>
      <c r="E1374" s="361"/>
      <c r="F1374" s="361"/>
      <c r="G1374" s="361"/>
      <c r="H1374" s="219"/>
      <c r="I1374" s="362"/>
      <c r="K1374" s="363"/>
    </row>
    <row r="1375" spans="1:11" s="70" customFormat="1" ht="30" customHeight="1">
      <c r="A1375" s="218"/>
      <c r="B1375" s="219"/>
      <c r="C1375" s="219"/>
      <c r="D1375" s="162"/>
      <c r="E1375" s="361"/>
      <c r="F1375" s="361"/>
      <c r="G1375" s="361"/>
      <c r="H1375" s="219"/>
      <c r="I1375" s="362"/>
      <c r="K1375" s="363"/>
    </row>
    <row r="1376" spans="1:11" s="70" customFormat="1" ht="30" customHeight="1">
      <c r="A1376" s="218"/>
      <c r="B1376" s="219"/>
      <c r="C1376" s="219"/>
      <c r="D1376" s="162"/>
      <c r="E1376" s="361"/>
      <c r="F1376" s="361"/>
      <c r="G1376" s="361"/>
      <c r="H1376" s="219"/>
      <c r="I1376" s="362"/>
      <c r="K1376" s="363"/>
    </row>
    <row r="1377" spans="1:11" s="70" customFormat="1" ht="30" customHeight="1">
      <c r="A1377" s="218"/>
      <c r="B1377" s="219"/>
      <c r="C1377" s="219"/>
      <c r="D1377" s="162"/>
      <c r="E1377" s="361"/>
      <c r="F1377" s="361"/>
      <c r="G1377" s="361"/>
      <c r="H1377" s="219"/>
      <c r="I1377" s="362"/>
      <c r="K1377" s="363"/>
    </row>
    <row r="1378" spans="1:11" s="70" customFormat="1" ht="30" customHeight="1">
      <c r="A1378" s="218"/>
      <c r="B1378" s="219"/>
      <c r="C1378" s="219"/>
      <c r="D1378" s="162"/>
      <c r="E1378" s="361"/>
      <c r="F1378" s="361"/>
      <c r="G1378" s="361"/>
      <c r="H1378" s="219"/>
      <c r="I1378" s="362"/>
      <c r="K1378" s="363"/>
    </row>
    <row r="1379" spans="1:11" s="70" customFormat="1" ht="30" customHeight="1">
      <c r="A1379" s="218"/>
      <c r="B1379" s="219"/>
      <c r="C1379" s="219"/>
      <c r="D1379" s="162"/>
      <c r="E1379" s="361"/>
      <c r="F1379" s="361"/>
      <c r="G1379" s="361"/>
      <c r="H1379" s="219"/>
      <c r="I1379" s="362"/>
      <c r="K1379" s="363"/>
    </row>
    <row r="1380" spans="1:11" s="70" customFormat="1" ht="30" customHeight="1">
      <c r="A1380" s="218"/>
      <c r="B1380" s="219"/>
      <c r="C1380" s="219"/>
      <c r="D1380" s="162"/>
      <c r="E1380" s="361"/>
      <c r="F1380" s="361"/>
      <c r="G1380" s="361"/>
      <c r="H1380" s="219"/>
      <c r="I1380" s="362"/>
      <c r="K1380" s="363"/>
    </row>
    <row r="1381" spans="1:11" s="70" customFormat="1" ht="30" customHeight="1">
      <c r="A1381" s="218"/>
      <c r="B1381" s="219"/>
      <c r="C1381" s="219"/>
      <c r="D1381" s="162"/>
      <c r="E1381" s="361"/>
      <c r="F1381" s="361"/>
      <c r="G1381" s="361"/>
      <c r="H1381" s="219"/>
      <c r="I1381" s="362"/>
      <c r="K1381" s="363"/>
    </row>
    <row r="1382" spans="1:11" s="70" customFormat="1" ht="30" customHeight="1">
      <c r="A1382" s="218"/>
      <c r="B1382" s="219"/>
      <c r="C1382" s="219"/>
      <c r="D1382" s="162"/>
      <c r="E1382" s="361"/>
      <c r="F1382" s="361"/>
      <c r="G1382" s="361"/>
      <c r="H1382" s="219"/>
      <c r="I1382" s="362"/>
      <c r="K1382" s="363"/>
    </row>
    <row r="1383" spans="1:11" s="70" customFormat="1" ht="30" customHeight="1">
      <c r="A1383" s="218"/>
      <c r="B1383" s="219"/>
      <c r="C1383" s="219"/>
      <c r="D1383" s="162"/>
      <c r="E1383" s="361"/>
      <c r="F1383" s="361"/>
      <c r="G1383" s="361"/>
      <c r="H1383" s="219"/>
      <c r="I1383" s="362"/>
      <c r="K1383" s="363"/>
    </row>
    <row r="1384" spans="1:11" s="70" customFormat="1" ht="30" customHeight="1">
      <c r="A1384" s="218"/>
      <c r="B1384" s="219"/>
      <c r="C1384" s="219"/>
      <c r="D1384" s="162"/>
      <c r="E1384" s="361"/>
      <c r="F1384" s="361"/>
      <c r="G1384" s="361"/>
      <c r="H1384" s="219"/>
      <c r="I1384" s="362"/>
      <c r="K1384" s="363"/>
    </row>
    <row r="1385" spans="1:11" s="70" customFormat="1" ht="30" customHeight="1">
      <c r="A1385" s="218"/>
      <c r="B1385" s="219"/>
      <c r="C1385" s="219"/>
      <c r="D1385" s="162"/>
      <c r="E1385" s="361"/>
      <c r="F1385" s="361"/>
      <c r="G1385" s="361"/>
      <c r="H1385" s="219"/>
      <c r="I1385" s="362"/>
      <c r="K1385" s="363"/>
    </row>
    <row r="1386" spans="1:11" s="70" customFormat="1" ht="30" customHeight="1">
      <c r="A1386" s="218"/>
      <c r="B1386" s="219"/>
      <c r="C1386" s="219"/>
      <c r="D1386" s="162"/>
      <c r="E1386" s="361"/>
      <c r="F1386" s="361"/>
      <c r="G1386" s="361"/>
      <c r="H1386" s="219"/>
      <c r="I1386" s="362"/>
      <c r="K1386" s="363"/>
    </row>
    <row r="1387" spans="1:11" s="70" customFormat="1" ht="30" customHeight="1">
      <c r="A1387" s="218"/>
      <c r="B1387" s="219"/>
      <c r="C1387" s="219"/>
      <c r="D1387" s="162"/>
      <c r="E1387" s="361"/>
      <c r="F1387" s="361"/>
      <c r="G1387" s="361"/>
      <c r="H1387" s="219"/>
      <c r="I1387" s="362"/>
      <c r="K1387" s="363"/>
    </row>
    <row r="1388" spans="1:11" s="70" customFormat="1" ht="30" customHeight="1">
      <c r="A1388" s="218"/>
      <c r="B1388" s="219"/>
      <c r="C1388" s="219"/>
      <c r="D1388" s="162"/>
      <c r="E1388" s="361"/>
      <c r="F1388" s="361"/>
      <c r="G1388" s="361"/>
      <c r="H1388" s="219"/>
      <c r="I1388" s="362"/>
      <c r="K1388" s="363"/>
    </row>
    <row r="1389" spans="1:11" s="70" customFormat="1" ht="30" customHeight="1">
      <c r="A1389" s="218"/>
      <c r="B1389" s="219"/>
      <c r="C1389" s="219"/>
      <c r="D1389" s="162"/>
      <c r="E1389" s="361"/>
      <c r="F1389" s="361"/>
      <c r="G1389" s="361"/>
      <c r="H1389" s="219"/>
      <c r="I1389" s="362"/>
      <c r="K1389" s="363"/>
    </row>
    <row r="1390" spans="1:11" s="70" customFormat="1" ht="30" customHeight="1">
      <c r="A1390" s="218"/>
      <c r="B1390" s="219"/>
      <c r="C1390" s="219"/>
      <c r="D1390" s="162"/>
      <c r="E1390" s="361"/>
      <c r="F1390" s="361"/>
      <c r="G1390" s="361"/>
      <c r="H1390" s="219"/>
      <c r="I1390" s="362"/>
      <c r="K1390" s="363"/>
    </row>
    <row r="1391" spans="1:11" s="70" customFormat="1" ht="30" customHeight="1">
      <c r="A1391" s="218"/>
      <c r="B1391" s="219"/>
      <c r="C1391" s="219"/>
      <c r="D1391" s="162"/>
      <c r="E1391" s="361"/>
      <c r="F1391" s="361"/>
      <c r="G1391" s="361"/>
      <c r="H1391" s="219"/>
      <c r="I1391" s="362"/>
      <c r="K1391" s="363"/>
    </row>
    <row r="1392" spans="1:11" s="70" customFormat="1" ht="30" customHeight="1">
      <c r="A1392" s="218"/>
      <c r="B1392" s="219"/>
      <c r="C1392" s="219"/>
      <c r="D1392" s="162"/>
      <c r="E1392" s="361"/>
      <c r="F1392" s="361"/>
      <c r="G1392" s="361"/>
      <c r="H1392" s="219"/>
      <c r="I1392" s="362"/>
      <c r="K1392" s="363"/>
    </row>
    <row r="1393" spans="1:11" s="70" customFormat="1" ht="30" customHeight="1">
      <c r="A1393" s="218"/>
      <c r="B1393" s="219"/>
      <c r="C1393" s="219"/>
      <c r="D1393" s="162"/>
      <c r="E1393" s="361"/>
      <c r="F1393" s="361"/>
      <c r="G1393" s="361"/>
      <c r="H1393" s="219"/>
      <c r="I1393" s="362"/>
      <c r="K1393" s="363"/>
    </row>
    <row r="1394" spans="1:11" s="70" customFormat="1" ht="30" customHeight="1">
      <c r="A1394" s="218"/>
      <c r="B1394" s="219"/>
      <c r="C1394" s="219"/>
      <c r="D1394" s="162"/>
      <c r="E1394" s="361"/>
      <c r="F1394" s="361"/>
      <c r="G1394" s="361"/>
      <c r="H1394" s="219"/>
      <c r="I1394" s="362"/>
      <c r="K1394" s="363"/>
    </row>
    <row r="1395" spans="1:11" s="70" customFormat="1" ht="30" customHeight="1">
      <c r="A1395" s="218"/>
      <c r="B1395" s="219"/>
      <c r="C1395" s="219"/>
      <c r="D1395" s="162"/>
      <c r="E1395" s="361"/>
      <c r="F1395" s="361"/>
      <c r="G1395" s="361"/>
      <c r="H1395" s="219"/>
      <c r="I1395" s="362"/>
      <c r="K1395" s="363"/>
    </row>
    <row r="1396" spans="1:11" s="70" customFormat="1" ht="30" customHeight="1">
      <c r="A1396" s="218"/>
      <c r="B1396" s="219"/>
      <c r="C1396" s="219"/>
      <c r="D1396" s="162"/>
      <c r="E1396" s="361"/>
      <c r="F1396" s="361"/>
      <c r="G1396" s="361"/>
      <c r="H1396" s="219"/>
      <c r="I1396" s="362"/>
      <c r="K1396" s="363"/>
    </row>
    <row r="1397" spans="1:11" s="70" customFormat="1" ht="30" customHeight="1">
      <c r="A1397" s="218"/>
      <c r="B1397" s="219"/>
      <c r="C1397" s="219"/>
      <c r="D1397" s="162"/>
      <c r="E1397" s="361"/>
      <c r="F1397" s="361"/>
      <c r="G1397" s="361"/>
      <c r="H1397" s="219"/>
      <c r="I1397" s="362"/>
      <c r="K1397" s="363"/>
    </row>
    <row r="1398" spans="1:11" s="70" customFormat="1" ht="30" customHeight="1">
      <c r="A1398" s="218"/>
      <c r="B1398" s="219"/>
      <c r="C1398" s="219"/>
      <c r="D1398" s="162"/>
      <c r="E1398" s="361"/>
      <c r="F1398" s="361"/>
      <c r="G1398" s="361"/>
      <c r="H1398" s="219"/>
      <c r="I1398" s="362"/>
      <c r="K1398" s="363"/>
    </row>
    <row r="1399" spans="1:11" s="70" customFormat="1" ht="30" customHeight="1">
      <c r="A1399" s="218"/>
      <c r="B1399" s="219"/>
      <c r="C1399" s="219"/>
      <c r="D1399" s="162"/>
      <c r="E1399" s="361"/>
      <c r="F1399" s="361"/>
      <c r="G1399" s="361"/>
      <c r="H1399" s="219"/>
      <c r="I1399" s="362"/>
      <c r="K1399" s="363"/>
    </row>
    <row r="1400" spans="1:11" s="70" customFormat="1" ht="30" customHeight="1">
      <c r="A1400" s="218"/>
      <c r="B1400" s="219"/>
      <c r="C1400" s="219"/>
      <c r="D1400" s="162"/>
      <c r="E1400" s="361"/>
      <c r="F1400" s="361"/>
      <c r="G1400" s="361"/>
      <c r="H1400" s="219"/>
      <c r="I1400" s="362"/>
      <c r="K1400" s="363"/>
    </row>
    <row r="1401" spans="1:11" s="70" customFormat="1" ht="30" customHeight="1">
      <c r="A1401" s="218"/>
      <c r="B1401" s="219"/>
      <c r="C1401" s="219"/>
      <c r="D1401" s="162"/>
      <c r="E1401" s="361"/>
      <c r="F1401" s="361"/>
      <c r="G1401" s="361"/>
      <c r="H1401" s="219"/>
      <c r="I1401" s="362"/>
      <c r="K1401" s="363"/>
    </row>
    <row r="1402" spans="1:11" s="70" customFormat="1" ht="30" customHeight="1">
      <c r="A1402" s="218"/>
      <c r="B1402" s="219"/>
      <c r="C1402" s="219"/>
      <c r="D1402" s="162"/>
      <c r="E1402" s="361"/>
      <c r="F1402" s="361"/>
      <c r="G1402" s="361"/>
      <c r="H1402" s="219"/>
      <c r="I1402" s="362"/>
      <c r="K1402" s="363"/>
    </row>
    <row r="1403" spans="1:11" s="70" customFormat="1" ht="30" customHeight="1">
      <c r="A1403" s="218"/>
      <c r="B1403" s="219"/>
      <c r="C1403" s="219"/>
      <c r="D1403" s="162"/>
      <c r="E1403" s="361"/>
      <c r="F1403" s="361"/>
      <c r="G1403" s="361"/>
      <c r="H1403" s="219"/>
      <c r="I1403" s="362"/>
      <c r="K1403" s="363"/>
    </row>
    <row r="1404" spans="1:11" s="70" customFormat="1" ht="30" customHeight="1">
      <c r="A1404" s="218"/>
      <c r="B1404" s="219"/>
      <c r="C1404" s="219"/>
      <c r="D1404" s="162"/>
      <c r="E1404" s="361"/>
      <c r="F1404" s="361"/>
      <c r="G1404" s="361"/>
      <c r="H1404" s="219"/>
      <c r="I1404" s="362"/>
      <c r="K1404" s="363"/>
    </row>
    <row r="1405" spans="1:11" s="70" customFormat="1" ht="30" customHeight="1">
      <c r="A1405" s="218"/>
      <c r="B1405" s="219"/>
      <c r="C1405" s="219"/>
      <c r="D1405" s="162"/>
      <c r="E1405" s="361"/>
      <c r="F1405" s="361"/>
      <c r="G1405" s="361"/>
      <c r="H1405" s="219"/>
      <c r="I1405" s="362"/>
      <c r="K1405" s="363"/>
    </row>
    <row r="1406" spans="1:11" s="70" customFormat="1" ht="30" customHeight="1">
      <c r="A1406" s="218"/>
      <c r="B1406" s="219"/>
      <c r="C1406" s="219"/>
      <c r="D1406" s="162"/>
      <c r="E1406" s="361"/>
      <c r="F1406" s="361"/>
      <c r="G1406" s="361"/>
      <c r="H1406" s="219"/>
      <c r="I1406" s="362"/>
      <c r="K1406" s="363"/>
    </row>
    <row r="1407" spans="1:11" s="70" customFormat="1" ht="30" customHeight="1">
      <c r="A1407" s="218"/>
      <c r="B1407" s="219"/>
      <c r="C1407" s="219"/>
      <c r="D1407" s="162"/>
      <c r="E1407" s="361"/>
      <c r="F1407" s="361"/>
      <c r="G1407" s="361"/>
      <c r="H1407" s="219"/>
      <c r="I1407" s="362"/>
      <c r="K1407" s="363"/>
    </row>
    <row r="1408" spans="1:11" s="70" customFormat="1" ht="30" customHeight="1">
      <c r="A1408" s="218"/>
      <c r="B1408" s="219"/>
      <c r="C1408" s="219"/>
      <c r="D1408" s="162"/>
      <c r="E1408" s="361"/>
      <c r="F1408" s="361"/>
      <c r="G1408" s="361"/>
      <c r="H1408" s="219"/>
      <c r="I1408" s="362"/>
      <c r="K1408" s="363"/>
    </row>
    <row r="1409" spans="1:11" s="70" customFormat="1" ht="30" customHeight="1">
      <c r="A1409" s="218"/>
      <c r="B1409" s="219"/>
      <c r="C1409" s="219"/>
      <c r="D1409" s="162"/>
      <c r="E1409" s="361"/>
      <c r="F1409" s="361"/>
      <c r="G1409" s="361"/>
      <c r="H1409" s="219"/>
      <c r="I1409" s="362"/>
      <c r="K1409" s="363"/>
    </row>
    <row r="1410" spans="1:11" s="70" customFormat="1" ht="30" customHeight="1">
      <c r="A1410" s="218"/>
      <c r="B1410" s="219"/>
      <c r="C1410" s="219"/>
      <c r="D1410" s="162"/>
      <c r="E1410" s="361"/>
      <c r="F1410" s="361"/>
      <c r="G1410" s="361"/>
      <c r="H1410" s="219"/>
      <c r="I1410" s="362"/>
      <c r="K1410" s="363"/>
    </row>
    <row r="1411" spans="1:11" s="70" customFormat="1" ht="30" customHeight="1">
      <c r="A1411" s="218"/>
      <c r="B1411" s="219"/>
      <c r="C1411" s="219"/>
      <c r="D1411" s="162"/>
      <c r="E1411" s="361"/>
      <c r="F1411" s="361"/>
      <c r="G1411" s="361"/>
      <c r="H1411" s="219"/>
      <c r="I1411" s="362"/>
      <c r="K1411" s="363"/>
    </row>
    <row r="1412" spans="1:11" s="70" customFormat="1" ht="30" customHeight="1">
      <c r="A1412" s="218"/>
      <c r="B1412" s="219"/>
      <c r="C1412" s="219"/>
      <c r="D1412" s="162"/>
      <c r="E1412" s="361"/>
      <c r="F1412" s="361"/>
      <c r="G1412" s="361"/>
      <c r="H1412" s="219"/>
      <c r="I1412" s="362"/>
      <c r="K1412" s="363"/>
    </row>
    <row r="1413" spans="1:11" s="70" customFormat="1" ht="30" customHeight="1">
      <c r="A1413" s="218"/>
      <c r="B1413" s="219"/>
      <c r="C1413" s="219"/>
      <c r="D1413" s="162"/>
      <c r="E1413" s="361"/>
      <c r="F1413" s="361"/>
      <c r="G1413" s="361"/>
      <c r="H1413" s="219"/>
      <c r="I1413" s="362"/>
      <c r="K1413" s="363"/>
    </row>
    <row r="1414" spans="1:11" s="70" customFormat="1" ht="30" customHeight="1">
      <c r="A1414" s="218"/>
      <c r="B1414" s="219"/>
      <c r="C1414" s="219"/>
      <c r="D1414" s="162"/>
      <c r="E1414" s="361"/>
      <c r="F1414" s="361"/>
      <c r="G1414" s="361"/>
      <c r="H1414" s="219"/>
      <c r="I1414" s="362"/>
      <c r="K1414" s="363"/>
    </row>
    <row r="1415" spans="1:11" s="70" customFormat="1" ht="30" customHeight="1">
      <c r="A1415" s="218"/>
      <c r="B1415" s="219"/>
      <c r="C1415" s="219"/>
      <c r="D1415" s="162"/>
      <c r="E1415" s="361"/>
      <c r="F1415" s="361"/>
      <c r="G1415" s="361"/>
      <c r="H1415" s="219"/>
      <c r="I1415" s="362"/>
      <c r="K1415" s="363"/>
    </row>
    <row r="1416" spans="1:11" s="70" customFormat="1" ht="30" customHeight="1">
      <c r="A1416" s="218"/>
      <c r="B1416" s="219"/>
      <c r="C1416" s="219"/>
      <c r="D1416" s="162"/>
      <c r="E1416" s="361"/>
      <c r="F1416" s="361"/>
      <c r="G1416" s="361"/>
      <c r="H1416" s="219"/>
      <c r="I1416" s="362"/>
      <c r="K1416" s="363"/>
    </row>
    <row r="1417" spans="1:11" s="70" customFormat="1" ht="30" customHeight="1">
      <c r="A1417" s="218"/>
      <c r="B1417" s="219"/>
      <c r="C1417" s="219"/>
      <c r="D1417" s="162"/>
      <c r="E1417" s="361"/>
      <c r="F1417" s="361"/>
      <c r="G1417" s="361"/>
      <c r="H1417" s="219"/>
      <c r="I1417" s="362"/>
      <c r="K1417" s="363"/>
    </row>
    <row r="1418" spans="1:11" s="70" customFormat="1" ht="30" customHeight="1">
      <c r="A1418" s="218"/>
      <c r="B1418" s="219"/>
      <c r="C1418" s="219"/>
      <c r="D1418" s="162"/>
      <c r="E1418" s="361"/>
      <c r="F1418" s="361"/>
      <c r="G1418" s="361"/>
      <c r="H1418" s="219"/>
      <c r="I1418" s="362"/>
      <c r="K1418" s="363"/>
    </row>
    <row r="1419" spans="1:11" s="70" customFormat="1" ht="30" customHeight="1">
      <c r="A1419" s="218"/>
      <c r="B1419" s="219"/>
      <c r="C1419" s="219"/>
      <c r="D1419" s="162"/>
      <c r="E1419" s="361"/>
      <c r="F1419" s="361"/>
      <c r="G1419" s="361"/>
      <c r="H1419" s="219"/>
      <c r="I1419" s="362"/>
      <c r="K1419" s="363"/>
    </row>
    <row r="1420" spans="1:11" s="70" customFormat="1" ht="30" customHeight="1">
      <c r="A1420" s="218"/>
      <c r="B1420" s="219"/>
      <c r="C1420" s="219"/>
      <c r="D1420" s="162"/>
      <c r="E1420" s="361"/>
      <c r="F1420" s="361"/>
      <c r="G1420" s="361"/>
      <c r="H1420" s="219"/>
      <c r="I1420" s="362"/>
      <c r="K1420" s="363"/>
    </row>
    <row r="1421" spans="1:11" s="70" customFormat="1" ht="30" customHeight="1">
      <c r="A1421" s="218"/>
      <c r="B1421" s="219"/>
      <c r="C1421" s="219"/>
      <c r="D1421" s="162"/>
      <c r="E1421" s="361"/>
      <c r="F1421" s="361"/>
      <c r="G1421" s="361"/>
      <c r="H1421" s="219"/>
      <c r="I1421" s="362"/>
      <c r="K1421" s="363"/>
    </row>
    <row r="1422" spans="1:11" s="70" customFormat="1" ht="30" customHeight="1">
      <c r="A1422" s="218"/>
      <c r="B1422" s="219"/>
      <c r="C1422" s="219"/>
      <c r="D1422" s="162"/>
      <c r="E1422" s="361"/>
      <c r="F1422" s="361"/>
      <c r="G1422" s="361"/>
      <c r="H1422" s="219"/>
      <c r="I1422" s="362"/>
      <c r="K1422" s="363"/>
    </row>
    <row r="1423" spans="1:11" s="70" customFormat="1" ht="30" customHeight="1">
      <c r="A1423" s="218"/>
      <c r="B1423" s="219"/>
      <c r="C1423" s="219"/>
      <c r="D1423" s="162"/>
      <c r="E1423" s="361"/>
      <c r="F1423" s="361"/>
      <c r="G1423" s="361"/>
      <c r="H1423" s="219"/>
      <c r="I1423" s="362"/>
      <c r="K1423" s="363"/>
    </row>
    <row r="1424" spans="1:11" s="70" customFormat="1" ht="30" customHeight="1">
      <c r="A1424" s="218"/>
      <c r="B1424" s="219"/>
      <c r="C1424" s="219"/>
      <c r="D1424" s="162"/>
      <c r="E1424" s="361"/>
      <c r="F1424" s="361"/>
      <c r="G1424" s="361"/>
      <c r="H1424" s="219"/>
      <c r="I1424" s="362"/>
      <c r="K1424" s="363"/>
    </row>
    <row r="1425" spans="1:11" s="70" customFormat="1" ht="30" customHeight="1">
      <c r="A1425" s="218"/>
      <c r="B1425" s="219"/>
      <c r="C1425" s="219"/>
      <c r="D1425" s="162"/>
      <c r="E1425" s="361"/>
      <c r="F1425" s="361"/>
      <c r="G1425" s="361"/>
      <c r="H1425" s="219"/>
      <c r="I1425" s="362"/>
      <c r="K1425" s="363"/>
    </row>
    <row r="1426" spans="1:11" s="70" customFormat="1" ht="30" customHeight="1">
      <c r="A1426" s="218"/>
      <c r="B1426" s="219"/>
      <c r="C1426" s="219"/>
      <c r="D1426" s="162"/>
      <c r="E1426" s="361"/>
      <c r="F1426" s="361"/>
      <c r="G1426" s="361"/>
      <c r="H1426" s="219"/>
      <c r="I1426" s="362"/>
      <c r="K1426" s="363"/>
    </row>
    <row r="1427" spans="1:11" s="70" customFormat="1" ht="30" customHeight="1">
      <c r="A1427" s="218"/>
      <c r="B1427" s="219"/>
      <c r="C1427" s="219"/>
      <c r="D1427" s="162"/>
      <c r="E1427" s="361"/>
      <c r="F1427" s="361"/>
      <c r="G1427" s="361"/>
      <c r="H1427" s="219"/>
      <c r="I1427" s="362"/>
      <c r="K1427" s="363"/>
    </row>
    <row r="1428" spans="1:11" s="70" customFormat="1" ht="30" customHeight="1">
      <c r="A1428" s="218"/>
      <c r="B1428" s="219"/>
      <c r="C1428" s="219"/>
      <c r="D1428" s="162"/>
      <c r="E1428" s="361"/>
      <c r="F1428" s="361"/>
      <c r="G1428" s="361"/>
      <c r="H1428" s="219"/>
      <c r="I1428" s="362"/>
      <c r="K1428" s="363"/>
    </row>
    <row r="1429" spans="1:11" s="70" customFormat="1" ht="30" customHeight="1">
      <c r="A1429" s="218"/>
      <c r="B1429" s="219"/>
      <c r="C1429" s="219"/>
      <c r="D1429" s="162"/>
      <c r="E1429" s="361"/>
      <c r="F1429" s="361"/>
      <c r="G1429" s="361"/>
      <c r="H1429" s="219"/>
      <c r="I1429" s="362"/>
      <c r="K1429" s="363"/>
    </row>
    <row r="1430" spans="1:11" s="70" customFormat="1" ht="30" customHeight="1">
      <c r="A1430" s="218"/>
      <c r="B1430" s="219"/>
      <c r="C1430" s="219"/>
      <c r="D1430" s="162"/>
      <c r="E1430" s="361"/>
      <c r="F1430" s="361"/>
      <c r="G1430" s="361"/>
      <c r="H1430" s="219"/>
      <c r="I1430" s="362"/>
      <c r="K1430" s="363"/>
    </row>
    <row r="1431" spans="1:11" s="70" customFormat="1" ht="30" customHeight="1">
      <c r="A1431" s="218"/>
      <c r="B1431" s="219"/>
      <c r="C1431" s="219"/>
      <c r="D1431" s="162"/>
      <c r="E1431" s="361"/>
      <c r="F1431" s="361"/>
      <c r="G1431" s="361"/>
      <c r="H1431" s="219"/>
      <c r="I1431" s="362"/>
      <c r="K1431" s="363"/>
    </row>
    <row r="1432" spans="1:11" s="70" customFormat="1" ht="30" customHeight="1">
      <c r="A1432" s="218"/>
      <c r="B1432" s="219"/>
      <c r="C1432" s="219"/>
      <c r="D1432" s="162"/>
      <c r="E1432" s="361"/>
      <c r="F1432" s="361"/>
      <c r="G1432" s="361"/>
      <c r="H1432" s="219"/>
      <c r="I1432" s="362"/>
      <c r="K1432" s="363"/>
    </row>
    <row r="1433" spans="1:11" s="70" customFormat="1" ht="30" customHeight="1">
      <c r="A1433" s="218"/>
      <c r="B1433" s="219"/>
      <c r="C1433" s="219"/>
      <c r="D1433" s="162"/>
      <c r="E1433" s="361"/>
      <c r="F1433" s="361"/>
      <c r="G1433" s="361"/>
      <c r="H1433" s="219"/>
      <c r="I1433" s="362"/>
      <c r="K1433" s="363"/>
    </row>
    <row r="1434" spans="1:11" s="70" customFormat="1" ht="30" customHeight="1">
      <c r="A1434" s="218"/>
      <c r="B1434" s="219"/>
      <c r="C1434" s="219"/>
      <c r="D1434" s="162"/>
      <c r="E1434" s="361"/>
      <c r="F1434" s="361"/>
      <c r="G1434" s="361"/>
      <c r="H1434" s="219"/>
      <c r="I1434" s="362"/>
      <c r="K1434" s="363"/>
    </row>
    <row r="1435" spans="1:11" s="70" customFormat="1" ht="30" customHeight="1">
      <c r="A1435" s="218"/>
      <c r="B1435" s="219"/>
      <c r="C1435" s="219"/>
      <c r="D1435" s="162"/>
      <c r="E1435" s="361"/>
      <c r="F1435" s="361"/>
      <c r="G1435" s="361"/>
      <c r="H1435" s="219"/>
      <c r="I1435" s="362"/>
      <c r="K1435" s="363"/>
    </row>
    <row r="1436" spans="1:11" s="70" customFormat="1" ht="30" customHeight="1">
      <c r="A1436" s="218"/>
      <c r="B1436" s="219"/>
      <c r="C1436" s="219"/>
      <c r="D1436" s="162"/>
      <c r="E1436" s="361"/>
      <c r="F1436" s="361"/>
      <c r="G1436" s="361"/>
      <c r="H1436" s="219"/>
      <c r="I1436" s="362"/>
      <c r="K1436" s="363"/>
    </row>
    <row r="1437" spans="1:11" s="70" customFormat="1" ht="30" customHeight="1">
      <c r="A1437" s="218"/>
      <c r="B1437" s="219"/>
      <c r="C1437" s="219"/>
      <c r="D1437" s="162"/>
      <c r="E1437" s="361"/>
      <c r="F1437" s="361"/>
      <c r="G1437" s="361"/>
      <c r="H1437" s="219"/>
      <c r="I1437" s="362"/>
      <c r="K1437" s="363"/>
    </row>
    <row r="1438" spans="1:11" s="70" customFormat="1" ht="30" customHeight="1">
      <c r="A1438" s="218"/>
      <c r="B1438" s="219"/>
      <c r="C1438" s="219"/>
      <c r="D1438" s="162"/>
      <c r="E1438" s="361"/>
      <c r="F1438" s="361"/>
      <c r="G1438" s="361"/>
      <c r="H1438" s="219"/>
      <c r="I1438" s="362"/>
      <c r="K1438" s="363"/>
    </row>
    <row r="1439" spans="1:11" s="70" customFormat="1" ht="30" customHeight="1">
      <c r="A1439" s="218"/>
      <c r="B1439" s="219"/>
      <c r="C1439" s="219"/>
      <c r="D1439" s="162"/>
      <c r="E1439" s="361"/>
      <c r="F1439" s="361"/>
      <c r="G1439" s="361"/>
      <c r="H1439" s="219"/>
      <c r="I1439" s="362"/>
      <c r="K1439" s="363"/>
    </row>
    <row r="1440" spans="1:11" s="70" customFormat="1" ht="30" customHeight="1">
      <c r="A1440" s="218"/>
      <c r="B1440" s="219"/>
      <c r="C1440" s="219"/>
      <c r="D1440" s="162"/>
      <c r="E1440" s="361"/>
      <c r="F1440" s="361"/>
      <c r="G1440" s="361"/>
      <c r="H1440" s="219"/>
      <c r="I1440" s="362"/>
      <c r="K1440" s="363"/>
    </row>
    <row r="1441" spans="1:11" s="70" customFormat="1" ht="30" customHeight="1">
      <c r="A1441" s="218"/>
      <c r="B1441" s="219"/>
      <c r="C1441" s="219"/>
      <c r="D1441" s="162"/>
      <c r="E1441" s="361"/>
      <c r="F1441" s="361"/>
      <c r="G1441" s="361"/>
      <c r="H1441" s="219"/>
      <c r="I1441" s="362"/>
      <c r="K1441" s="363"/>
    </row>
    <row r="1442" spans="1:11" s="70" customFormat="1" ht="30" customHeight="1">
      <c r="A1442" s="218"/>
      <c r="B1442" s="219"/>
      <c r="C1442" s="219"/>
      <c r="D1442" s="162"/>
      <c r="E1442" s="361"/>
      <c r="F1442" s="361"/>
      <c r="G1442" s="361"/>
      <c r="H1442" s="219"/>
      <c r="I1442" s="362"/>
      <c r="K1442" s="363"/>
    </row>
    <row r="1443" spans="1:11" s="70" customFormat="1" ht="30" customHeight="1">
      <c r="A1443" s="218"/>
      <c r="B1443" s="219"/>
      <c r="C1443" s="219"/>
      <c r="D1443" s="162"/>
      <c r="E1443" s="361"/>
      <c r="F1443" s="361"/>
      <c r="G1443" s="361"/>
      <c r="H1443" s="219"/>
      <c r="I1443" s="362"/>
      <c r="K1443" s="363"/>
    </row>
    <row r="1444" spans="1:11" s="70" customFormat="1" ht="30" customHeight="1">
      <c r="A1444" s="218"/>
      <c r="B1444" s="219"/>
      <c r="C1444" s="219"/>
      <c r="D1444" s="162"/>
      <c r="E1444" s="361"/>
      <c r="F1444" s="361"/>
      <c r="G1444" s="361"/>
      <c r="H1444" s="219"/>
      <c r="I1444" s="362"/>
      <c r="K1444" s="363"/>
    </row>
    <row r="1445" spans="1:11" s="70" customFormat="1" ht="30" customHeight="1">
      <c r="A1445" s="218"/>
      <c r="B1445" s="219"/>
      <c r="C1445" s="219"/>
      <c r="D1445" s="162"/>
      <c r="E1445" s="361"/>
      <c r="F1445" s="361"/>
      <c r="G1445" s="361"/>
      <c r="H1445" s="219"/>
      <c r="I1445" s="362"/>
      <c r="K1445" s="363"/>
    </row>
    <row r="1446" spans="1:11" s="70" customFormat="1" ht="30" customHeight="1">
      <c r="A1446" s="218"/>
      <c r="B1446" s="219"/>
      <c r="C1446" s="219"/>
      <c r="D1446" s="162"/>
      <c r="E1446" s="361"/>
      <c r="F1446" s="361"/>
      <c r="G1446" s="361"/>
      <c r="H1446" s="219"/>
      <c r="I1446" s="362"/>
      <c r="K1446" s="363"/>
    </row>
    <row r="1447" spans="1:11" s="70" customFormat="1" ht="30" customHeight="1">
      <c r="A1447" s="218"/>
      <c r="B1447" s="219"/>
      <c r="C1447" s="219"/>
      <c r="D1447" s="162"/>
      <c r="E1447" s="361"/>
      <c r="F1447" s="361"/>
      <c r="G1447" s="361"/>
      <c r="H1447" s="219"/>
      <c r="I1447" s="362"/>
      <c r="K1447" s="363"/>
    </row>
    <row r="1448" spans="1:11" s="70" customFormat="1" ht="30" customHeight="1">
      <c r="A1448" s="218"/>
      <c r="B1448" s="219"/>
      <c r="C1448" s="219"/>
      <c r="D1448" s="162"/>
      <c r="E1448" s="361"/>
      <c r="F1448" s="361"/>
      <c r="G1448" s="361"/>
      <c r="H1448" s="219"/>
      <c r="I1448" s="362"/>
      <c r="K1448" s="363"/>
    </row>
    <row r="1449" spans="1:11" s="70" customFormat="1" ht="30" customHeight="1">
      <c r="A1449" s="218"/>
      <c r="B1449" s="219"/>
      <c r="C1449" s="219"/>
      <c r="D1449" s="162"/>
      <c r="E1449" s="361"/>
      <c r="F1449" s="361"/>
      <c r="G1449" s="361"/>
      <c r="H1449" s="219"/>
      <c r="I1449" s="362"/>
      <c r="K1449" s="363"/>
    </row>
    <row r="1450" spans="1:11" s="70" customFormat="1" ht="30" customHeight="1">
      <c r="A1450" s="218"/>
      <c r="B1450" s="219"/>
      <c r="C1450" s="219"/>
      <c r="D1450" s="162"/>
      <c r="E1450" s="361"/>
      <c r="F1450" s="361"/>
      <c r="G1450" s="361"/>
      <c r="H1450" s="219"/>
      <c r="I1450" s="362"/>
      <c r="K1450" s="363"/>
    </row>
    <row r="1451" spans="1:11" s="70" customFormat="1" ht="30" customHeight="1">
      <c r="A1451" s="218"/>
      <c r="B1451" s="219"/>
      <c r="C1451" s="219"/>
      <c r="D1451" s="162"/>
      <c r="E1451" s="361"/>
      <c r="F1451" s="361"/>
      <c r="G1451" s="361"/>
      <c r="H1451" s="219"/>
      <c r="I1451" s="362"/>
      <c r="K1451" s="363"/>
    </row>
    <row r="1452" spans="1:11" s="70" customFormat="1" ht="30" customHeight="1">
      <c r="A1452" s="218"/>
      <c r="B1452" s="219"/>
      <c r="C1452" s="219"/>
      <c r="D1452" s="162"/>
      <c r="E1452" s="361"/>
      <c r="F1452" s="361"/>
      <c r="G1452" s="361"/>
      <c r="H1452" s="219"/>
      <c r="I1452" s="362"/>
      <c r="K1452" s="363"/>
    </row>
    <row r="1453" spans="1:11" s="70" customFormat="1" ht="30" customHeight="1">
      <c r="A1453" s="218"/>
      <c r="B1453" s="219"/>
      <c r="C1453" s="219"/>
      <c r="D1453" s="162"/>
      <c r="E1453" s="361"/>
      <c r="F1453" s="361"/>
      <c r="G1453" s="361"/>
      <c r="H1453" s="219"/>
      <c r="I1453" s="362"/>
      <c r="K1453" s="363"/>
    </row>
    <row r="1454" spans="1:11" s="70" customFormat="1" ht="30" customHeight="1">
      <c r="A1454" s="218"/>
      <c r="B1454" s="219"/>
      <c r="C1454" s="219"/>
      <c r="D1454" s="162"/>
      <c r="E1454" s="361"/>
      <c r="F1454" s="361"/>
      <c r="G1454" s="361"/>
      <c r="H1454" s="219"/>
      <c r="I1454" s="362"/>
      <c r="K1454" s="363"/>
    </row>
    <row r="1455" spans="1:11" s="70" customFormat="1" ht="30" customHeight="1">
      <c r="A1455" s="218"/>
      <c r="B1455" s="219"/>
      <c r="C1455" s="219"/>
      <c r="D1455" s="162"/>
      <c r="E1455" s="361"/>
      <c r="F1455" s="361"/>
      <c r="G1455" s="361"/>
      <c r="H1455" s="219"/>
      <c r="I1455" s="362"/>
      <c r="K1455" s="363"/>
    </row>
    <row r="1456" spans="1:11" s="70" customFormat="1" ht="30" customHeight="1">
      <c r="A1456" s="218"/>
      <c r="B1456" s="219"/>
      <c r="C1456" s="219"/>
      <c r="D1456" s="162"/>
      <c r="E1456" s="361"/>
      <c r="F1456" s="361"/>
      <c r="G1456" s="361"/>
      <c r="H1456" s="219"/>
      <c r="I1456" s="362"/>
      <c r="K1456" s="363"/>
    </row>
    <row r="1457" spans="1:11" s="70" customFormat="1" ht="30" customHeight="1">
      <c r="A1457" s="218"/>
      <c r="B1457" s="219"/>
      <c r="C1457" s="219"/>
      <c r="D1457" s="162"/>
      <c r="E1457" s="361"/>
      <c r="F1457" s="361"/>
      <c r="G1457" s="361"/>
      <c r="H1457" s="219"/>
      <c r="I1457" s="362"/>
      <c r="K1457" s="363"/>
    </row>
    <row r="1458" spans="1:11" s="70" customFormat="1" ht="30" customHeight="1">
      <c r="A1458" s="218"/>
      <c r="B1458" s="219"/>
      <c r="C1458" s="219"/>
      <c r="D1458" s="162"/>
      <c r="E1458" s="361"/>
      <c r="F1458" s="361"/>
      <c r="G1458" s="361"/>
      <c r="H1458" s="219"/>
      <c r="I1458" s="362"/>
      <c r="K1458" s="363"/>
    </row>
    <row r="1459" spans="1:11" s="70" customFormat="1" ht="30" customHeight="1">
      <c r="A1459" s="218"/>
      <c r="B1459" s="219"/>
      <c r="C1459" s="219"/>
      <c r="D1459" s="162"/>
      <c r="E1459" s="361"/>
      <c r="F1459" s="361"/>
      <c r="G1459" s="361"/>
      <c r="H1459" s="219"/>
      <c r="I1459" s="362"/>
      <c r="K1459" s="363"/>
    </row>
    <row r="1460" spans="1:11" s="70" customFormat="1" ht="30" customHeight="1">
      <c r="A1460" s="218"/>
      <c r="B1460" s="219"/>
      <c r="C1460" s="219"/>
      <c r="D1460" s="162"/>
      <c r="E1460" s="361"/>
      <c r="F1460" s="361"/>
      <c r="G1460" s="361"/>
      <c r="H1460" s="219"/>
      <c r="I1460" s="362"/>
      <c r="K1460" s="363"/>
    </row>
    <row r="1461" spans="1:11" s="70" customFormat="1" ht="30" customHeight="1">
      <c r="A1461" s="218"/>
      <c r="B1461" s="219"/>
      <c r="C1461" s="219"/>
      <c r="D1461" s="162"/>
      <c r="E1461" s="361"/>
      <c r="F1461" s="361"/>
      <c r="G1461" s="361"/>
      <c r="H1461" s="219"/>
      <c r="I1461" s="362"/>
      <c r="K1461" s="363"/>
    </row>
    <row r="1462" spans="1:11" s="70" customFormat="1" ht="30" customHeight="1">
      <c r="A1462" s="218"/>
      <c r="B1462" s="219"/>
      <c r="C1462" s="219"/>
      <c r="D1462" s="162"/>
      <c r="E1462" s="361"/>
      <c r="F1462" s="361"/>
      <c r="G1462" s="361"/>
      <c r="H1462" s="219"/>
      <c r="I1462" s="362"/>
      <c r="K1462" s="363"/>
    </row>
    <row r="1463" spans="1:11" s="70" customFormat="1" ht="30" customHeight="1">
      <c r="A1463" s="218"/>
      <c r="B1463" s="219"/>
      <c r="C1463" s="219"/>
      <c r="D1463" s="162"/>
      <c r="E1463" s="361"/>
      <c r="F1463" s="361"/>
      <c r="G1463" s="361"/>
      <c r="H1463" s="219"/>
      <c r="I1463" s="362"/>
      <c r="K1463" s="363"/>
    </row>
    <row r="1464" spans="1:11" s="70" customFormat="1" ht="30" customHeight="1">
      <c r="A1464" s="218"/>
      <c r="B1464" s="219"/>
      <c r="C1464" s="219"/>
      <c r="D1464" s="162"/>
      <c r="E1464" s="361"/>
      <c r="F1464" s="361"/>
      <c r="G1464" s="361"/>
      <c r="H1464" s="219"/>
      <c r="I1464" s="362"/>
      <c r="K1464" s="363"/>
    </row>
    <row r="1465" spans="1:11" s="70" customFormat="1" ht="30" customHeight="1">
      <c r="A1465" s="218"/>
      <c r="B1465" s="219"/>
      <c r="C1465" s="219"/>
      <c r="D1465" s="162"/>
      <c r="E1465" s="361"/>
      <c r="F1465" s="361"/>
      <c r="G1465" s="361"/>
      <c r="H1465" s="219"/>
      <c r="I1465" s="362"/>
      <c r="K1465" s="363"/>
    </row>
    <row r="1466" spans="1:11" s="70" customFormat="1" ht="30" customHeight="1">
      <c r="A1466" s="218"/>
      <c r="B1466" s="219"/>
      <c r="C1466" s="219"/>
      <c r="D1466" s="162"/>
      <c r="E1466" s="361"/>
      <c r="F1466" s="361"/>
      <c r="G1466" s="361"/>
      <c r="H1466" s="219"/>
      <c r="I1466" s="362"/>
      <c r="K1466" s="363"/>
    </row>
    <row r="1467" spans="1:11" s="70" customFormat="1" ht="30" customHeight="1">
      <c r="A1467" s="218"/>
      <c r="B1467" s="219"/>
      <c r="C1467" s="219"/>
      <c r="D1467" s="162"/>
      <c r="E1467" s="361"/>
      <c r="F1467" s="361"/>
      <c r="G1467" s="361"/>
      <c r="H1467" s="219"/>
      <c r="I1467" s="362"/>
      <c r="K1467" s="363"/>
    </row>
    <row r="1468" spans="1:11" s="70" customFormat="1" ht="30" customHeight="1">
      <c r="A1468" s="218"/>
      <c r="B1468" s="219"/>
      <c r="C1468" s="219"/>
      <c r="D1468" s="162"/>
      <c r="E1468" s="361"/>
      <c r="F1468" s="361"/>
      <c r="G1468" s="361"/>
      <c r="H1468" s="219"/>
      <c r="I1468" s="362"/>
      <c r="K1468" s="363"/>
    </row>
    <row r="1469" spans="1:11" s="70" customFormat="1" ht="30" customHeight="1">
      <c r="A1469" s="218"/>
      <c r="B1469" s="219"/>
      <c r="C1469" s="219"/>
      <c r="D1469" s="162"/>
      <c r="E1469" s="361"/>
      <c r="F1469" s="361"/>
      <c r="G1469" s="361"/>
      <c r="H1469" s="219"/>
      <c r="I1469" s="362"/>
      <c r="K1469" s="363"/>
    </row>
    <row r="1470" spans="1:11" s="70" customFormat="1" ht="30" customHeight="1">
      <c r="A1470" s="218"/>
      <c r="B1470" s="219"/>
      <c r="C1470" s="219"/>
      <c r="D1470" s="162"/>
      <c r="E1470" s="361"/>
      <c r="F1470" s="361"/>
      <c r="G1470" s="361"/>
      <c r="H1470" s="219"/>
      <c r="I1470" s="362"/>
      <c r="K1470" s="363"/>
    </row>
    <row r="1471" spans="1:11" s="70" customFormat="1" ht="30" customHeight="1">
      <c r="A1471" s="218"/>
      <c r="B1471" s="219"/>
      <c r="C1471" s="219"/>
      <c r="D1471" s="162"/>
      <c r="E1471" s="361"/>
      <c r="F1471" s="361"/>
      <c r="G1471" s="361"/>
      <c r="H1471" s="219"/>
      <c r="I1471" s="362"/>
      <c r="K1471" s="363"/>
    </row>
    <row r="1472" spans="1:11" s="70" customFormat="1" ht="30" customHeight="1">
      <c r="A1472" s="218"/>
      <c r="B1472" s="219"/>
      <c r="C1472" s="219"/>
      <c r="D1472" s="162"/>
      <c r="E1472" s="361"/>
      <c r="F1472" s="361"/>
      <c r="G1472" s="361"/>
      <c r="H1472" s="219"/>
      <c r="I1472" s="362"/>
      <c r="K1472" s="363"/>
    </row>
    <row r="1473" spans="1:11" s="70" customFormat="1" ht="30" customHeight="1">
      <c r="A1473" s="218"/>
      <c r="B1473" s="219"/>
      <c r="C1473" s="219"/>
      <c r="D1473" s="162"/>
      <c r="E1473" s="361"/>
      <c r="F1473" s="361"/>
      <c r="G1473" s="361"/>
      <c r="H1473" s="219"/>
      <c r="I1473" s="362"/>
      <c r="K1473" s="363"/>
    </row>
    <row r="1474" spans="1:11" s="70" customFormat="1" ht="30" customHeight="1">
      <c r="A1474" s="218"/>
      <c r="B1474" s="219"/>
      <c r="C1474" s="219"/>
      <c r="D1474" s="162"/>
      <c r="E1474" s="361"/>
      <c r="F1474" s="361"/>
      <c r="G1474" s="361"/>
      <c r="H1474" s="219"/>
      <c r="I1474" s="362"/>
      <c r="K1474" s="363"/>
    </row>
    <row r="1475" spans="1:11" s="70" customFormat="1" ht="30" customHeight="1">
      <c r="A1475" s="218"/>
      <c r="B1475" s="219"/>
      <c r="C1475" s="219"/>
      <c r="D1475" s="162"/>
      <c r="E1475" s="361"/>
      <c r="F1475" s="361"/>
      <c r="G1475" s="361"/>
      <c r="H1475" s="219"/>
      <c r="I1475" s="362"/>
      <c r="K1475" s="363"/>
    </row>
    <row r="1476" spans="1:11" s="70" customFormat="1" ht="30" customHeight="1">
      <c r="A1476" s="218"/>
      <c r="B1476" s="219"/>
      <c r="C1476" s="219"/>
      <c r="D1476" s="162"/>
      <c r="E1476" s="361"/>
      <c r="F1476" s="361"/>
      <c r="G1476" s="361"/>
      <c r="H1476" s="219"/>
      <c r="I1476" s="362"/>
      <c r="K1476" s="363"/>
    </row>
    <row r="1477" spans="1:11" s="70" customFormat="1" ht="30" customHeight="1">
      <c r="A1477" s="218"/>
      <c r="B1477" s="219"/>
      <c r="C1477" s="219"/>
      <c r="D1477" s="162"/>
      <c r="E1477" s="361"/>
      <c r="F1477" s="361"/>
      <c r="G1477" s="361"/>
      <c r="H1477" s="219"/>
      <c r="I1477" s="362"/>
      <c r="K1477" s="363"/>
    </row>
    <row r="1478" spans="1:11" s="70" customFormat="1" ht="30" customHeight="1">
      <c r="A1478" s="218"/>
      <c r="B1478" s="219"/>
      <c r="C1478" s="219"/>
      <c r="D1478" s="162"/>
      <c r="E1478" s="361"/>
      <c r="F1478" s="361"/>
      <c r="G1478" s="361"/>
      <c r="H1478" s="219"/>
      <c r="I1478" s="362"/>
      <c r="K1478" s="363"/>
    </row>
    <row r="1479" spans="1:11" s="70" customFormat="1" ht="30" customHeight="1">
      <c r="A1479" s="218"/>
      <c r="B1479" s="219"/>
      <c r="C1479" s="219"/>
      <c r="D1479" s="162"/>
      <c r="E1479" s="361"/>
      <c r="F1479" s="361"/>
      <c r="G1479" s="361"/>
      <c r="H1479" s="219"/>
      <c r="I1479" s="362"/>
      <c r="K1479" s="363"/>
    </row>
    <row r="1480" spans="1:11" s="70" customFormat="1" ht="30" customHeight="1">
      <c r="A1480" s="218"/>
      <c r="B1480" s="219"/>
      <c r="C1480" s="219"/>
      <c r="D1480" s="162"/>
      <c r="E1480" s="361"/>
      <c r="F1480" s="361"/>
      <c r="G1480" s="361"/>
      <c r="H1480" s="219"/>
      <c r="I1480" s="362"/>
      <c r="K1480" s="363"/>
    </row>
    <row r="1481" spans="1:11" s="70" customFormat="1" ht="30" customHeight="1">
      <c r="A1481" s="218"/>
      <c r="B1481" s="219"/>
      <c r="C1481" s="219"/>
      <c r="D1481" s="162"/>
      <c r="E1481" s="361"/>
      <c r="F1481" s="361"/>
      <c r="G1481" s="361"/>
      <c r="H1481" s="219"/>
      <c r="I1481" s="362"/>
      <c r="K1481" s="363"/>
    </row>
    <row r="1482" spans="1:11" s="70" customFormat="1" ht="30" customHeight="1">
      <c r="A1482" s="218"/>
      <c r="B1482" s="219"/>
      <c r="C1482" s="219"/>
      <c r="D1482" s="162"/>
      <c r="E1482" s="361"/>
      <c r="F1482" s="361"/>
      <c r="G1482" s="361"/>
      <c r="H1482" s="219"/>
      <c r="I1482" s="362"/>
      <c r="K1482" s="363"/>
    </row>
    <row r="1483" spans="1:11" s="70" customFormat="1" ht="30" customHeight="1">
      <c r="A1483" s="218"/>
      <c r="B1483" s="219"/>
      <c r="C1483" s="219"/>
      <c r="D1483" s="162"/>
      <c r="E1483" s="361"/>
      <c r="F1483" s="361"/>
      <c r="G1483" s="361"/>
      <c r="H1483" s="219"/>
      <c r="I1483" s="362"/>
      <c r="K1483" s="363"/>
    </row>
    <row r="1484" spans="1:11" s="70" customFormat="1" ht="30" customHeight="1">
      <c r="A1484" s="218"/>
      <c r="B1484" s="219"/>
      <c r="C1484" s="219"/>
      <c r="D1484" s="162"/>
      <c r="E1484" s="361"/>
      <c r="F1484" s="361"/>
      <c r="G1484" s="361"/>
      <c r="H1484" s="219"/>
      <c r="I1484" s="362"/>
      <c r="K1484" s="363"/>
    </row>
    <row r="1485" spans="1:11" s="70" customFormat="1" ht="30" customHeight="1">
      <c r="A1485" s="218"/>
      <c r="B1485" s="219"/>
      <c r="C1485" s="219"/>
      <c r="D1485" s="162"/>
      <c r="E1485" s="361"/>
      <c r="F1485" s="361"/>
      <c r="G1485" s="361"/>
      <c r="H1485" s="219"/>
      <c r="I1485" s="362"/>
      <c r="K1485" s="363"/>
    </row>
    <row r="1486" spans="1:11" s="70" customFormat="1" ht="30" customHeight="1">
      <c r="A1486" s="218"/>
      <c r="B1486" s="219"/>
      <c r="C1486" s="219"/>
      <c r="D1486" s="162"/>
      <c r="E1486" s="361"/>
      <c r="F1486" s="361"/>
      <c r="G1486" s="361"/>
      <c r="H1486" s="219"/>
      <c r="I1486" s="362"/>
      <c r="K1486" s="363"/>
    </row>
    <row r="1487" spans="1:11" s="70" customFormat="1" ht="30" customHeight="1">
      <c r="A1487" s="218"/>
      <c r="B1487" s="219"/>
      <c r="C1487" s="219"/>
      <c r="D1487" s="162"/>
      <c r="E1487" s="361"/>
      <c r="F1487" s="361"/>
      <c r="G1487" s="361"/>
      <c r="H1487" s="219"/>
      <c r="I1487" s="362"/>
      <c r="K1487" s="363"/>
    </row>
    <row r="1488" spans="1:11" s="70" customFormat="1" ht="30" customHeight="1">
      <c r="A1488" s="218"/>
      <c r="B1488" s="219"/>
      <c r="C1488" s="219"/>
      <c r="D1488" s="162"/>
      <c r="E1488" s="361"/>
      <c r="F1488" s="361"/>
      <c r="G1488" s="361"/>
      <c r="H1488" s="219"/>
      <c r="I1488" s="362"/>
      <c r="K1488" s="363"/>
    </row>
    <row r="1489" spans="1:11" s="70" customFormat="1" ht="30" customHeight="1">
      <c r="A1489" s="218"/>
      <c r="B1489" s="219"/>
      <c r="C1489" s="219"/>
      <c r="D1489" s="162"/>
      <c r="E1489" s="361"/>
      <c r="F1489" s="361"/>
      <c r="G1489" s="361"/>
      <c r="H1489" s="219"/>
      <c r="I1489" s="362"/>
      <c r="K1489" s="363"/>
    </row>
    <row r="1490" spans="1:11" s="70" customFormat="1" ht="30" customHeight="1">
      <c r="A1490" s="218"/>
      <c r="B1490" s="219"/>
      <c r="C1490" s="219"/>
      <c r="D1490" s="162"/>
      <c r="E1490" s="361"/>
      <c r="F1490" s="361"/>
      <c r="G1490" s="361"/>
      <c r="H1490" s="219"/>
      <c r="I1490" s="362"/>
      <c r="K1490" s="363"/>
    </row>
    <row r="1491" spans="1:11" s="70" customFormat="1" ht="30" customHeight="1">
      <c r="A1491" s="218"/>
      <c r="B1491" s="219"/>
      <c r="C1491" s="219"/>
      <c r="D1491" s="162"/>
      <c r="E1491" s="361"/>
      <c r="F1491" s="361"/>
      <c r="G1491" s="361"/>
      <c r="H1491" s="219"/>
      <c r="I1491" s="362"/>
      <c r="K1491" s="363"/>
    </row>
    <row r="1492" spans="1:9" ht="30" customHeight="1">
      <c r="A1492" s="218"/>
      <c r="B1492" s="219"/>
      <c r="C1492" s="219"/>
      <c r="D1492" s="162"/>
      <c r="E1492" s="361"/>
      <c r="F1492" s="361"/>
      <c r="G1492" s="361"/>
      <c r="H1492" s="219"/>
      <c r="I1492" s="362"/>
    </row>
    <row r="1493" spans="1:9" ht="30" customHeight="1">
      <c r="A1493" s="218"/>
      <c r="B1493" s="219"/>
      <c r="C1493" s="219"/>
      <c r="D1493" s="162"/>
      <c r="E1493" s="361"/>
      <c r="F1493" s="361"/>
      <c r="G1493" s="361"/>
      <c r="H1493" s="219"/>
      <c r="I1493" s="362"/>
    </row>
    <row r="1494" spans="1:9" ht="30" customHeight="1">
      <c r="A1494" s="218"/>
      <c r="B1494" s="219"/>
      <c r="C1494" s="219"/>
      <c r="D1494" s="162"/>
      <c r="E1494" s="361"/>
      <c r="F1494" s="361"/>
      <c r="G1494" s="361"/>
      <c r="H1494" s="219"/>
      <c r="I1494" s="362"/>
    </row>
    <row r="1495" spans="1:9" ht="30" customHeight="1">
      <c r="A1495" s="218"/>
      <c r="B1495" s="219"/>
      <c r="C1495" s="219"/>
      <c r="D1495" s="162"/>
      <c r="E1495" s="361"/>
      <c r="F1495" s="361"/>
      <c r="G1495" s="361"/>
      <c r="H1495" s="219"/>
      <c r="I1495" s="362"/>
    </row>
    <row r="1496" spans="1:9" ht="30" customHeight="1">
      <c r="A1496" s="218"/>
      <c r="B1496" s="219"/>
      <c r="C1496" s="219"/>
      <c r="D1496" s="162"/>
      <c r="E1496" s="361"/>
      <c r="F1496" s="361"/>
      <c r="G1496" s="361"/>
      <c r="H1496" s="219"/>
      <c r="I1496" s="362"/>
    </row>
    <row r="1497" spans="1:9" ht="30" customHeight="1">
      <c r="A1497" s="218"/>
      <c r="B1497" s="219"/>
      <c r="C1497" s="219"/>
      <c r="D1497" s="162"/>
      <c r="E1497" s="361"/>
      <c r="F1497" s="361"/>
      <c r="G1497" s="361"/>
      <c r="H1497" s="219"/>
      <c r="I1497" s="362"/>
    </row>
    <row r="1498" spans="1:9" ht="30" customHeight="1">
      <c r="A1498" s="218"/>
      <c r="B1498" s="219"/>
      <c r="C1498" s="219"/>
      <c r="D1498" s="162"/>
      <c r="E1498" s="361"/>
      <c r="F1498" s="361"/>
      <c r="G1498" s="361"/>
      <c r="H1498" s="219"/>
      <c r="I1498" s="362"/>
    </row>
    <row r="1499" spans="1:9" ht="30" customHeight="1">
      <c r="A1499" s="218"/>
      <c r="B1499" s="219"/>
      <c r="C1499" s="219"/>
      <c r="D1499" s="162"/>
      <c r="E1499" s="361"/>
      <c r="F1499" s="361"/>
      <c r="G1499" s="361"/>
      <c r="H1499" s="219"/>
      <c r="I1499" s="362"/>
    </row>
    <row r="1500" spans="1:9" ht="30" customHeight="1">
      <c r="A1500" s="218"/>
      <c r="B1500" s="219"/>
      <c r="C1500" s="219"/>
      <c r="D1500" s="162"/>
      <c r="E1500" s="361"/>
      <c r="F1500" s="361"/>
      <c r="G1500" s="361"/>
      <c r="H1500" s="219"/>
      <c r="I1500" s="362"/>
    </row>
    <row r="1501" spans="1:9" ht="30" customHeight="1">
      <c r="A1501" s="218"/>
      <c r="B1501" s="219"/>
      <c r="C1501" s="219"/>
      <c r="D1501" s="162"/>
      <c r="E1501" s="361"/>
      <c r="F1501" s="361"/>
      <c r="G1501" s="361"/>
      <c r="H1501" s="219"/>
      <c r="I1501" s="362"/>
    </row>
    <row r="1502" spans="1:9" ht="30" customHeight="1">
      <c r="A1502" s="218"/>
      <c r="B1502" s="219"/>
      <c r="C1502" s="219"/>
      <c r="D1502" s="162"/>
      <c r="E1502" s="361"/>
      <c r="F1502" s="361"/>
      <c r="G1502" s="361"/>
      <c r="H1502" s="219"/>
      <c r="I1502" s="362"/>
    </row>
    <row r="1503" spans="1:9" ht="30" customHeight="1">
      <c r="A1503" s="218"/>
      <c r="B1503" s="219"/>
      <c r="C1503" s="219"/>
      <c r="D1503" s="162"/>
      <c r="E1503" s="361"/>
      <c r="F1503" s="361"/>
      <c r="G1503" s="361"/>
      <c r="H1503" s="219"/>
      <c r="I1503" s="362"/>
    </row>
    <row r="1504" spans="1:9" ht="30" customHeight="1">
      <c r="A1504" s="218"/>
      <c r="B1504" s="219"/>
      <c r="C1504" s="219"/>
      <c r="D1504" s="162"/>
      <c r="E1504" s="361"/>
      <c r="F1504" s="361"/>
      <c r="G1504" s="361"/>
      <c r="H1504" s="219"/>
      <c r="I1504" s="362"/>
    </row>
    <row r="1505" spans="1:9" ht="30" customHeight="1">
      <c r="A1505" s="218"/>
      <c r="B1505" s="219"/>
      <c r="C1505" s="219"/>
      <c r="D1505" s="162"/>
      <c r="E1505" s="361"/>
      <c r="F1505" s="361"/>
      <c r="G1505" s="361"/>
      <c r="H1505" s="219"/>
      <c r="I1505" s="362"/>
    </row>
    <row r="1506" spans="1:9" ht="30" customHeight="1">
      <c r="A1506" s="218"/>
      <c r="B1506" s="219"/>
      <c r="C1506" s="219"/>
      <c r="D1506" s="162"/>
      <c r="E1506" s="361"/>
      <c r="F1506" s="361"/>
      <c r="G1506" s="361"/>
      <c r="H1506" s="219"/>
      <c r="I1506" s="362"/>
    </row>
    <row r="1507" spans="1:9" ht="30" customHeight="1">
      <c r="A1507" s="218"/>
      <c r="B1507" s="219"/>
      <c r="C1507" s="219"/>
      <c r="D1507" s="162"/>
      <c r="E1507" s="361"/>
      <c r="F1507" s="361"/>
      <c r="G1507" s="361"/>
      <c r="H1507" s="219"/>
      <c r="I1507" s="362"/>
    </row>
    <row r="1508" spans="1:9" ht="30" customHeight="1">
      <c r="A1508" s="218"/>
      <c r="B1508" s="219"/>
      <c r="C1508" s="219"/>
      <c r="D1508" s="162"/>
      <c r="E1508" s="361"/>
      <c r="F1508" s="361"/>
      <c r="G1508" s="361"/>
      <c r="H1508" s="219"/>
      <c r="I1508" s="362"/>
    </row>
    <row r="1509" spans="1:9" ht="30" customHeight="1">
      <c r="A1509" s="218"/>
      <c r="B1509" s="219"/>
      <c r="C1509" s="219"/>
      <c r="D1509" s="162"/>
      <c r="E1509" s="361"/>
      <c r="F1509" s="361"/>
      <c r="G1509" s="361"/>
      <c r="H1509" s="219"/>
      <c r="I1509" s="362"/>
    </row>
    <row r="1510" spans="1:9" ht="30" customHeight="1">
      <c r="A1510" s="218"/>
      <c r="B1510" s="219"/>
      <c r="C1510" s="219"/>
      <c r="D1510" s="162"/>
      <c r="E1510" s="361"/>
      <c r="F1510" s="361"/>
      <c r="G1510" s="361"/>
      <c r="H1510" s="219"/>
      <c r="I1510" s="362"/>
    </row>
    <row r="1511" spans="1:9" ht="30" customHeight="1">
      <c r="A1511" s="218"/>
      <c r="B1511" s="219"/>
      <c r="C1511" s="219"/>
      <c r="D1511" s="162"/>
      <c r="E1511" s="361"/>
      <c r="F1511" s="361"/>
      <c r="G1511" s="361"/>
      <c r="H1511" s="219"/>
      <c r="I1511" s="362"/>
    </row>
    <row r="1512" spans="1:9" ht="30" customHeight="1">
      <c r="A1512" s="218"/>
      <c r="B1512" s="219"/>
      <c r="C1512" s="219"/>
      <c r="D1512" s="162"/>
      <c r="E1512" s="361"/>
      <c r="F1512" s="361"/>
      <c r="G1512" s="361"/>
      <c r="H1512" s="219"/>
      <c r="I1512" s="362"/>
    </row>
    <row r="1513" spans="1:9" ht="30" customHeight="1">
      <c r="A1513" s="218"/>
      <c r="B1513" s="219"/>
      <c r="C1513" s="219"/>
      <c r="D1513" s="162"/>
      <c r="E1513" s="361"/>
      <c r="F1513" s="361"/>
      <c r="G1513" s="361"/>
      <c r="H1513" s="219"/>
      <c r="I1513" s="362"/>
    </row>
    <row r="1514" spans="1:9" ht="30" customHeight="1">
      <c r="A1514" s="218"/>
      <c r="B1514" s="219"/>
      <c r="C1514" s="219"/>
      <c r="D1514" s="162"/>
      <c r="E1514" s="361"/>
      <c r="F1514" s="361"/>
      <c r="G1514" s="361"/>
      <c r="H1514" s="219"/>
      <c r="I1514" s="362"/>
    </row>
    <row r="1515" spans="1:9" ht="30" customHeight="1">
      <c r="A1515" s="218"/>
      <c r="B1515" s="219"/>
      <c r="C1515" s="219"/>
      <c r="D1515" s="162"/>
      <c r="E1515" s="361"/>
      <c r="F1515" s="361"/>
      <c r="G1515" s="361"/>
      <c r="H1515" s="219"/>
      <c r="I1515" s="362"/>
    </row>
    <row r="1516" spans="1:9" ht="30" customHeight="1">
      <c r="A1516" s="218"/>
      <c r="B1516" s="219"/>
      <c r="C1516" s="219"/>
      <c r="D1516" s="162"/>
      <c r="E1516" s="361"/>
      <c r="F1516" s="361"/>
      <c r="G1516" s="361"/>
      <c r="H1516" s="219"/>
      <c r="I1516" s="362"/>
    </row>
    <row r="1517" spans="1:9" ht="30" customHeight="1">
      <c r="A1517" s="218"/>
      <c r="B1517" s="219"/>
      <c r="C1517" s="219"/>
      <c r="D1517" s="162"/>
      <c r="E1517" s="361"/>
      <c r="F1517" s="361"/>
      <c r="G1517" s="361"/>
      <c r="H1517" s="219"/>
      <c r="I1517" s="362"/>
    </row>
    <row r="1518" spans="1:9" ht="30" customHeight="1">
      <c r="A1518" s="218"/>
      <c r="B1518" s="219"/>
      <c r="C1518" s="219"/>
      <c r="D1518" s="162"/>
      <c r="E1518" s="361"/>
      <c r="F1518" s="361"/>
      <c r="G1518" s="361"/>
      <c r="H1518" s="219"/>
      <c r="I1518" s="362"/>
    </row>
    <row r="1519" spans="1:9" ht="30" customHeight="1">
      <c r="A1519" s="218"/>
      <c r="B1519" s="219"/>
      <c r="C1519" s="219"/>
      <c r="D1519" s="162"/>
      <c r="E1519" s="361"/>
      <c r="F1519" s="361"/>
      <c r="G1519" s="361"/>
      <c r="H1519" s="219"/>
      <c r="I1519" s="362"/>
    </row>
    <row r="1520" spans="1:9" ht="30" customHeight="1">
      <c r="A1520" s="218"/>
      <c r="B1520" s="219"/>
      <c r="C1520" s="219"/>
      <c r="D1520" s="162"/>
      <c r="E1520" s="361"/>
      <c r="F1520" s="361"/>
      <c r="G1520" s="361"/>
      <c r="H1520" s="219"/>
      <c r="I1520" s="362"/>
    </row>
    <row r="1521" spans="1:9" ht="30" customHeight="1">
      <c r="A1521" s="218"/>
      <c r="B1521" s="219"/>
      <c r="C1521" s="219"/>
      <c r="D1521" s="162"/>
      <c r="E1521" s="361"/>
      <c r="F1521" s="361"/>
      <c r="G1521" s="361"/>
      <c r="H1521" s="219"/>
      <c r="I1521" s="362"/>
    </row>
    <row r="1522" spans="1:9" ht="30" customHeight="1">
      <c r="A1522" s="218"/>
      <c r="B1522" s="219"/>
      <c r="C1522" s="219"/>
      <c r="D1522" s="162"/>
      <c r="E1522" s="361"/>
      <c r="F1522" s="361"/>
      <c r="G1522" s="361"/>
      <c r="H1522" s="219"/>
      <c r="I1522" s="362"/>
    </row>
    <row r="1523" spans="1:9" ht="30" customHeight="1">
      <c r="A1523" s="218"/>
      <c r="B1523" s="219"/>
      <c r="C1523" s="219"/>
      <c r="D1523" s="162"/>
      <c r="E1523" s="361"/>
      <c r="F1523" s="361"/>
      <c r="G1523" s="361"/>
      <c r="H1523" s="219"/>
      <c r="I1523" s="362"/>
    </row>
    <row r="1524" spans="1:9" ht="30" customHeight="1">
      <c r="A1524" s="218"/>
      <c r="B1524" s="219"/>
      <c r="C1524" s="219"/>
      <c r="D1524" s="162"/>
      <c r="E1524" s="361"/>
      <c r="F1524" s="361"/>
      <c r="G1524" s="361"/>
      <c r="H1524" s="219"/>
      <c r="I1524" s="362"/>
    </row>
    <row r="1525" spans="1:9" ht="30" customHeight="1">
      <c r="A1525" s="218"/>
      <c r="B1525" s="219"/>
      <c r="C1525" s="219"/>
      <c r="D1525" s="162"/>
      <c r="E1525" s="361"/>
      <c r="F1525" s="361"/>
      <c r="G1525" s="361"/>
      <c r="H1525" s="219"/>
      <c r="I1525" s="362"/>
    </row>
    <row r="1526" spans="1:9" ht="30" customHeight="1">
      <c r="A1526" s="218"/>
      <c r="B1526" s="219"/>
      <c r="C1526" s="219"/>
      <c r="D1526" s="162"/>
      <c r="E1526" s="361"/>
      <c r="F1526" s="361"/>
      <c r="G1526" s="361"/>
      <c r="H1526" s="219"/>
      <c r="I1526" s="362"/>
    </row>
    <row r="1527" spans="1:9" ht="30" customHeight="1">
      <c r="A1527" s="218"/>
      <c r="B1527" s="219"/>
      <c r="C1527" s="219"/>
      <c r="D1527" s="162"/>
      <c r="E1527" s="361"/>
      <c r="F1527" s="361"/>
      <c r="G1527" s="361"/>
      <c r="H1527" s="219"/>
      <c r="I1527" s="362"/>
    </row>
    <row r="1528" spans="1:9" ht="30" customHeight="1">
      <c r="A1528" s="218"/>
      <c r="B1528" s="219"/>
      <c r="C1528" s="219"/>
      <c r="D1528" s="162"/>
      <c r="E1528" s="361"/>
      <c r="F1528" s="361"/>
      <c r="G1528" s="361"/>
      <c r="H1528" s="219"/>
      <c r="I1528" s="362"/>
    </row>
    <row r="1529" spans="1:9" ht="30" customHeight="1">
      <c r="A1529" s="218"/>
      <c r="B1529" s="219"/>
      <c r="C1529" s="219"/>
      <c r="D1529" s="162"/>
      <c r="E1529" s="361"/>
      <c r="F1529" s="361"/>
      <c r="G1529" s="361"/>
      <c r="H1529" s="219"/>
      <c r="I1529" s="362"/>
    </row>
    <row r="1530" spans="1:9" ht="30" customHeight="1">
      <c r="A1530" s="218"/>
      <c r="B1530" s="219"/>
      <c r="C1530" s="219"/>
      <c r="D1530" s="162"/>
      <c r="E1530" s="361"/>
      <c r="F1530" s="361"/>
      <c r="G1530" s="361"/>
      <c r="H1530" s="219"/>
      <c r="I1530" s="362"/>
    </row>
    <row r="1531" spans="1:9" ht="30" customHeight="1">
      <c r="A1531" s="218"/>
      <c r="B1531" s="219"/>
      <c r="C1531" s="219"/>
      <c r="D1531" s="162"/>
      <c r="E1531" s="361"/>
      <c r="F1531" s="361"/>
      <c r="G1531" s="361"/>
      <c r="H1531" s="219"/>
      <c r="I1531" s="362"/>
    </row>
    <row r="1532" spans="1:9" ht="30" customHeight="1">
      <c r="A1532" s="218"/>
      <c r="B1532" s="219"/>
      <c r="C1532" s="219"/>
      <c r="D1532" s="162"/>
      <c r="E1532" s="361"/>
      <c r="F1532" s="361"/>
      <c r="G1532" s="361"/>
      <c r="H1532" s="219"/>
      <c r="I1532" s="362"/>
    </row>
    <row r="1533" spans="1:9" ht="30" customHeight="1">
      <c r="A1533" s="218"/>
      <c r="B1533" s="219"/>
      <c r="C1533" s="219"/>
      <c r="D1533" s="162"/>
      <c r="E1533" s="361"/>
      <c r="F1533" s="361"/>
      <c r="G1533" s="361"/>
      <c r="H1533" s="219"/>
      <c r="I1533" s="362"/>
    </row>
    <row r="1534" spans="1:9" ht="30" customHeight="1">
      <c r="A1534" s="218"/>
      <c r="B1534" s="219"/>
      <c r="C1534" s="219"/>
      <c r="D1534" s="162"/>
      <c r="E1534" s="361"/>
      <c r="F1534" s="361"/>
      <c r="G1534" s="361"/>
      <c r="H1534" s="219"/>
      <c r="I1534" s="362"/>
    </row>
    <row r="1535" spans="1:9" ht="30" customHeight="1">
      <c r="A1535" s="218"/>
      <c r="B1535" s="219"/>
      <c r="C1535" s="219"/>
      <c r="D1535" s="162"/>
      <c r="E1535" s="361"/>
      <c r="F1535" s="361"/>
      <c r="G1535" s="361"/>
      <c r="H1535" s="219"/>
      <c r="I1535" s="362"/>
    </row>
    <row r="1536" spans="1:9" ht="30" customHeight="1">
      <c r="A1536" s="218"/>
      <c r="B1536" s="219"/>
      <c r="C1536" s="219"/>
      <c r="D1536" s="162"/>
      <c r="E1536" s="361"/>
      <c r="F1536" s="361"/>
      <c r="G1536" s="361"/>
      <c r="H1536" s="219"/>
      <c r="I1536" s="362"/>
    </row>
    <row r="1537" spans="1:9" ht="30" customHeight="1">
      <c r="A1537" s="218"/>
      <c r="B1537" s="219"/>
      <c r="C1537" s="219"/>
      <c r="D1537" s="162"/>
      <c r="E1537" s="361"/>
      <c r="F1537" s="361"/>
      <c r="G1537" s="361"/>
      <c r="H1537" s="219"/>
      <c r="I1537" s="362"/>
    </row>
    <row r="1538" spans="1:9" ht="30" customHeight="1">
      <c r="A1538" s="218"/>
      <c r="B1538" s="219"/>
      <c r="C1538" s="219"/>
      <c r="D1538" s="162"/>
      <c r="E1538" s="361"/>
      <c r="F1538" s="361"/>
      <c r="G1538" s="361"/>
      <c r="H1538" s="219"/>
      <c r="I1538" s="362"/>
    </row>
    <row r="1539" spans="1:9" ht="30" customHeight="1">
      <c r="A1539" s="218"/>
      <c r="B1539" s="219"/>
      <c r="C1539" s="219"/>
      <c r="D1539" s="162"/>
      <c r="E1539" s="361"/>
      <c r="F1539" s="361"/>
      <c r="G1539" s="361"/>
      <c r="H1539" s="219"/>
      <c r="I1539" s="362"/>
    </row>
    <row r="1540" spans="1:9" ht="30" customHeight="1">
      <c r="A1540" s="218"/>
      <c r="B1540" s="219"/>
      <c r="C1540" s="219"/>
      <c r="D1540" s="162"/>
      <c r="E1540" s="361"/>
      <c r="F1540" s="361"/>
      <c r="G1540" s="361"/>
      <c r="H1540" s="219"/>
      <c r="I1540" s="362"/>
    </row>
    <row r="1541" spans="1:9" ht="30" customHeight="1">
      <c r="A1541" s="218"/>
      <c r="B1541" s="219"/>
      <c r="C1541" s="219"/>
      <c r="D1541" s="162"/>
      <c r="E1541" s="361"/>
      <c r="F1541" s="361"/>
      <c r="G1541" s="361"/>
      <c r="H1541" s="219"/>
      <c r="I1541" s="362"/>
    </row>
    <row r="1542" spans="1:9" ht="30" customHeight="1">
      <c r="A1542" s="218"/>
      <c r="B1542" s="219"/>
      <c r="C1542" s="219"/>
      <c r="D1542" s="162"/>
      <c r="E1542" s="361"/>
      <c r="F1542" s="361"/>
      <c r="G1542" s="361"/>
      <c r="H1542" s="219"/>
      <c r="I1542" s="362"/>
    </row>
    <row r="1543" spans="1:9" ht="30" customHeight="1">
      <c r="A1543" s="218"/>
      <c r="B1543" s="219"/>
      <c r="C1543" s="219"/>
      <c r="D1543" s="162"/>
      <c r="E1543" s="361"/>
      <c r="F1543" s="361"/>
      <c r="G1543" s="361"/>
      <c r="H1543" s="219"/>
      <c r="I1543" s="362"/>
    </row>
    <row r="1544" spans="1:9" ht="30" customHeight="1">
      <c r="A1544" s="218"/>
      <c r="B1544" s="219"/>
      <c r="C1544" s="219"/>
      <c r="D1544" s="162"/>
      <c r="E1544" s="361"/>
      <c r="F1544" s="361"/>
      <c r="G1544" s="361"/>
      <c r="H1544" s="219"/>
      <c r="I1544" s="362"/>
    </row>
    <row r="1545" spans="1:9" ht="30" customHeight="1">
      <c r="A1545" s="218"/>
      <c r="B1545" s="219"/>
      <c r="C1545" s="219"/>
      <c r="D1545" s="162"/>
      <c r="E1545" s="361"/>
      <c r="F1545" s="361"/>
      <c r="G1545" s="361"/>
      <c r="H1545" s="219"/>
      <c r="I1545" s="362"/>
    </row>
    <row r="1546" spans="1:9" ht="30" customHeight="1">
      <c r="A1546" s="218"/>
      <c r="B1546" s="219"/>
      <c r="C1546" s="219"/>
      <c r="D1546" s="162"/>
      <c r="E1546" s="361"/>
      <c r="F1546" s="361"/>
      <c r="G1546" s="361"/>
      <c r="H1546" s="219"/>
      <c r="I1546" s="362"/>
    </row>
    <row r="1547" spans="1:9" ht="30" customHeight="1">
      <c r="A1547" s="218"/>
      <c r="B1547" s="219"/>
      <c r="C1547" s="219"/>
      <c r="D1547" s="162"/>
      <c r="E1547" s="361"/>
      <c r="F1547" s="361"/>
      <c r="G1547" s="361"/>
      <c r="H1547" s="219"/>
      <c r="I1547" s="362"/>
    </row>
  </sheetData>
  <sheetProtection password="CF52" sheet="1"/>
  <autoFilter ref="A1:A1215"/>
  <mergeCells count="279">
    <mergeCell ref="A475:C475"/>
    <mergeCell ref="A497:C497"/>
    <mergeCell ref="A523:C523"/>
    <mergeCell ref="A582:C582"/>
    <mergeCell ref="A532:C532"/>
    <mergeCell ref="A539:C539"/>
    <mergeCell ref="A560:C560"/>
    <mergeCell ref="C505:C506"/>
    <mergeCell ref="A722:C722"/>
    <mergeCell ref="C589:C590"/>
    <mergeCell ref="A624:C624"/>
    <mergeCell ref="B505:B506"/>
    <mergeCell ref="A595:C595"/>
    <mergeCell ref="B589:B590"/>
    <mergeCell ref="A647:C647"/>
    <mergeCell ref="A640:C640"/>
    <mergeCell ref="A704:C704"/>
    <mergeCell ref="A588:I588"/>
    <mergeCell ref="A645:C645"/>
    <mergeCell ref="D589:I589"/>
    <mergeCell ref="A1024:H1024"/>
    <mergeCell ref="A1025:C1025"/>
    <mergeCell ref="A1039:C1039"/>
    <mergeCell ref="C730:C731"/>
    <mergeCell ref="A934:C934"/>
    <mergeCell ref="D730:I730"/>
    <mergeCell ref="A835:I835"/>
    <mergeCell ref="A763:C763"/>
    <mergeCell ref="A586:D586"/>
    <mergeCell ref="A507:C507"/>
    <mergeCell ref="A609:I609"/>
    <mergeCell ref="A610:C610"/>
    <mergeCell ref="A592:C592"/>
    <mergeCell ref="A585:D585"/>
    <mergeCell ref="A433:C433"/>
    <mergeCell ref="A584:D584"/>
    <mergeCell ref="A364:C364"/>
    <mergeCell ref="A578:C578"/>
    <mergeCell ref="A412:C412"/>
    <mergeCell ref="A448:B448"/>
    <mergeCell ref="A444:C444"/>
    <mergeCell ref="A373:C373"/>
    <mergeCell ref="A404:H404"/>
    <mergeCell ref="A474:I474"/>
    <mergeCell ref="A730:A731"/>
    <mergeCell ref="A800:C800"/>
    <mergeCell ref="A5:I5"/>
    <mergeCell ref="D103:I103"/>
    <mergeCell ref="A102:I102"/>
    <mergeCell ref="A441:C441"/>
    <mergeCell ref="A333:I333"/>
    <mergeCell ref="D6:I6"/>
    <mergeCell ref="A363:C363"/>
    <mergeCell ref="A508:C508"/>
    <mergeCell ref="A273:I273"/>
    <mergeCell ref="A241:I241"/>
    <mergeCell ref="C6:C7"/>
    <mergeCell ref="A26:I26"/>
    <mergeCell ref="A1196:I1196"/>
    <mergeCell ref="A202:I202"/>
    <mergeCell ref="A591:C591"/>
    <mergeCell ref="A728:D728"/>
    <mergeCell ref="A589:A590"/>
    <mergeCell ref="A399:C399"/>
    <mergeCell ref="D819:I819"/>
    <mergeCell ref="A751:C751"/>
    <mergeCell ref="A1210:I1210"/>
    <mergeCell ref="A415:I415"/>
    <mergeCell ref="A505:A506"/>
    <mergeCell ref="D505:I505"/>
    <mergeCell ref="A438:C438"/>
    <mergeCell ref="A462:C462"/>
    <mergeCell ref="A930:D930"/>
    <mergeCell ref="A931:I931"/>
    <mergeCell ref="A299:C299"/>
    <mergeCell ref="A1208:D1208"/>
    <mergeCell ref="A359:C359"/>
    <mergeCell ref="A416:A417"/>
    <mergeCell ref="A405:C405"/>
    <mergeCell ref="A732:C732"/>
    <mergeCell ref="A414:D414"/>
    <mergeCell ref="A501:C501"/>
    <mergeCell ref="A1207:D1207"/>
    <mergeCell ref="A1008:D1008"/>
    <mergeCell ref="A105:C105"/>
    <mergeCell ref="A237:C237"/>
    <mergeCell ref="A236:C236"/>
    <mergeCell ref="A298:C298"/>
    <mergeCell ref="C203:C204"/>
    <mergeCell ref="A238:C238"/>
    <mergeCell ref="A138:C138"/>
    <mergeCell ref="A243:C243"/>
    <mergeCell ref="A106:C106"/>
    <mergeCell ref="A220:I220"/>
    <mergeCell ref="A1:I1"/>
    <mergeCell ref="A3:I3"/>
    <mergeCell ref="A4:I4"/>
    <mergeCell ref="A1121:I1121"/>
    <mergeCell ref="D1122:I1122"/>
    <mergeCell ref="B1122:B1123"/>
    <mergeCell ref="A750:I750"/>
    <mergeCell ref="A2:I2"/>
    <mergeCell ref="A504:I504"/>
    <mergeCell ref="D416:I416"/>
    <mergeCell ref="A635:C635"/>
    <mergeCell ref="A503:D503"/>
    <mergeCell ref="A534:C534"/>
    <mergeCell ref="A811:C811"/>
    <mergeCell ref="C819:C820"/>
    <mergeCell ref="A928:C928"/>
    <mergeCell ref="A847:C847"/>
    <mergeCell ref="A849:C849"/>
    <mergeCell ref="A760:C760"/>
    <mergeCell ref="A850:C850"/>
    <mergeCell ref="A818:I818"/>
    <mergeCell ref="D932:I932"/>
    <mergeCell ref="A1070:I1070"/>
    <mergeCell ref="A966:C966"/>
    <mergeCell ref="A956:C956"/>
    <mergeCell ref="B1010:B1011"/>
    <mergeCell ref="D1010:I1010"/>
    <mergeCell ref="A951:C951"/>
    <mergeCell ref="A962:C962"/>
    <mergeCell ref="A961:I961"/>
    <mergeCell ref="A1158:H1158"/>
    <mergeCell ref="C1122:C1123"/>
    <mergeCell ref="A1164:C1164"/>
    <mergeCell ref="A1135:C1135"/>
    <mergeCell ref="A886:C886"/>
    <mergeCell ref="A837:C837"/>
    <mergeCell ref="A1054:C1054"/>
    <mergeCell ref="A1085:C1085"/>
    <mergeCell ref="A1081:C1081"/>
    <mergeCell ref="A1053:C1053"/>
    <mergeCell ref="A1206:D1206"/>
    <mergeCell ref="A1058:C1058"/>
    <mergeCell ref="A1197:C1197"/>
    <mergeCell ref="A1204:C1204"/>
    <mergeCell ref="A1147:C1147"/>
    <mergeCell ref="A1145:C1145"/>
    <mergeCell ref="A1122:A1123"/>
    <mergeCell ref="A1183:C1183"/>
    <mergeCell ref="A1124:C1124"/>
    <mergeCell ref="A1159:C1159"/>
    <mergeCell ref="M129:O129"/>
    <mergeCell ref="A1057:C1057"/>
    <mergeCell ref="A1120:D1120"/>
    <mergeCell ref="B932:B933"/>
    <mergeCell ref="A1113:H1113"/>
    <mergeCell ref="A1071:C1071"/>
    <mergeCell ref="A981:C981"/>
    <mergeCell ref="A989:C989"/>
    <mergeCell ref="C1010:C1011"/>
    <mergeCell ref="A1000:C1000"/>
    <mergeCell ref="A1118:C1118"/>
    <mergeCell ref="A1006:C1006"/>
    <mergeCell ref="A1098:C1098"/>
    <mergeCell ref="A1125:C1125"/>
    <mergeCell ref="A867:C867"/>
    <mergeCell ref="A1146:C1146"/>
    <mergeCell ref="A1114:C1114"/>
    <mergeCell ref="A1143:C1143"/>
    <mergeCell ref="A1128:C1128"/>
    <mergeCell ref="A932:A933"/>
    <mergeCell ref="A862:I862"/>
    <mergeCell ref="A1012:C1012"/>
    <mergeCell ref="A1108:C1108"/>
    <mergeCell ref="A1009:I1009"/>
    <mergeCell ref="A1010:A1011"/>
    <mergeCell ref="A863:C863"/>
    <mergeCell ref="A946:C946"/>
    <mergeCell ref="A952:C952"/>
    <mergeCell ref="A1013:C1013"/>
    <mergeCell ref="A815:C815"/>
    <mergeCell ref="A819:A820"/>
    <mergeCell ref="A938:C938"/>
    <mergeCell ref="C932:C933"/>
    <mergeCell ref="A924:C924"/>
    <mergeCell ref="A915:C915"/>
    <mergeCell ref="A935:C935"/>
    <mergeCell ref="B819:B820"/>
    <mergeCell ref="A832:C832"/>
    <mergeCell ref="A821:C821"/>
    <mergeCell ref="A646:C646"/>
    <mergeCell ref="A690:C690"/>
    <mergeCell ref="A675:C675"/>
    <mergeCell ref="A817:D817"/>
    <mergeCell ref="A822:C822"/>
    <mergeCell ref="A721:H721"/>
    <mergeCell ref="A759:C759"/>
    <mergeCell ref="A656:C656"/>
    <mergeCell ref="A726:C726"/>
    <mergeCell ref="A733:C733"/>
    <mergeCell ref="A788:C788"/>
    <mergeCell ref="A729:I729"/>
    <mergeCell ref="A736:C736"/>
    <mergeCell ref="A901:C901"/>
    <mergeCell ref="A623:C623"/>
    <mergeCell ref="A771:C771"/>
    <mergeCell ref="A758:C758"/>
    <mergeCell ref="A900:H900"/>
    <mergeCell ref="A689:I689"/>
    <mergeCell ref="A807:C807"/>
    <mergeCell ref="A799:I799"/>
    <mergeCell ref="A838:C838"/>
    <mergeCell ref="A652:C652"/>
    <mergeCell ref="A8:C8"/>
    <mergeCell ref="A30:C30"/>
    <mergeCell ref="A27:C27"/>
    <mergeCell ref="A94:C94"/>
    <mergeCell ref="A232:C232"/>
    <mergeCell ref="A199:C199"/>
    <mergeCell ref="A201:D201"/>
    <mergeCell ref="A6:A7"/>
    <mergeCell ref="A83:C83"/>
    <mergeCell ref="B6:B7"/>
    <mergeCell ref="A40:C40"/>
    <mergeCell ref="A194:C194"/>
    <mergeCell ref="A127:C127"/>
    <mergeCell ref="A100:C100"/>
    <mergeCell ref="A136:C136"/>
    <mergeCell ref="A149:C149"/>
    <mergeCell ref="A116:C116"/>
    <mergeCell ref="C103:C104"/>
    <mergeCell ref="D203:I203"/>
    <mergeCell ref="A221:C221"/>
    <mergeCell ref="A334:C334"/>
    <mergeCell ref="A348:C348"/>
    <mergeCell ref="A426:C426"/>
    <mergeCell ref="C296:C297"/>
    <mergeCell ref="B416:B417"/>
    <mergeCell ref="A296:A297"/>
    <mergeCell ref="A365:C365"/>
    <mergeCell ref="A101:D101"/>
    <mergeCell ref="A12:C12"/>
    <mergeCell ref="A57:C57"/>
    <mergeCell ref="A72:C72"/>
    <mergeCell ref="A98:C98"/>
    <mergeCell ref="A41:C41"/>
    <mergeCell ref="B203:B204"/>
    <mergeCell ref="A93:H93"/>
    <mergeCell ref="A188:C188"/>
    <mergeCell ref="A139:C139"/>
    <mergeCell ref="A131:C131"/>
    <mergeCell ref="A295:I295"/>
    <mergeCell ref="A206:C206"/>
    <mergeCell ref="A103:A104"/>
    <mergeCell ref="A203:A204"/>
    <mergeCell ref="A209:C209"/>
    <mergeCell ref="D296:I296"/>
    <mergeCell ref="A443:H443"/>
    <mergeCell ref="A437:C437"/>
    <mergeCell ref="A274:C274"/>
    <mergeCell ref="C416:C417"/>
    <mergeCell ref="A292:C292"/>
    <mergeCell ref="A317:C317"/>
    <mergeCell ref="A429:C429"/>
    <mergeCell ref="A418:C418"/>
    <mergeCell ref="B296:B297"/>
    <mergeCell ref="B103:B104"/>
    <mergeCell ref="A488:C488"/>
    <mergeCell ref="A193:H193"/>
    <mergeCell ref="A172:C172"/>
    <mergeCell ref="A387:C387"/>
    <mergeCell ref="A286:C286"/>
    <mergeCell ref="A151:C151"/>
    <mergeCell ref="A134:C134"/>
    <mergeCell ref="A205:C205"/>
    <mergeCell ref="A255:C255"/>
    <mergeCell ref="A1209:D1209"/>
    <mergeCell ref="A587:D587"/>
    <mergeCell ref="A294:D294"/>
    <mergeCell ref="B730:B731"/>
    <mergeCell ref="A574:C574"/>
    <mergeCell ref="A533:C533"/>
    <mergeCell ref="A519:C519"/>
    <mergeCell ref="A316:I316"/>
    <mergeCell ref="A358:C358"/>
    <mergeCell ref="A419:C419"/>
  </mergeCells>
  <printOptions horizontalCentered="1"/>
  <pageMargins left="0" right="0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C17" sqref="C17"/>
    </sheetView>
  </sheetViews>
  <sheetFormatPr defaultColWidth="9.140625" defaultRowHeight="12.75" outlineLevelCol="1"/>
  <cols>
    <col min="1" max="1" width="2.8515625" style="332" customWidth="1"/>
    <col min="2" max="2" width="47.00390625" style="333" customWidth="1"/>
    <col min="3" max="3" width="10.8515625" style="333" customWidth="1"/>
    <col min="4" max="4" width="6.28125" style="333" hidden="1" customWidth="1" outlineLevel="1"/>
    <col min="5" max="5" width="11.7109375" style="332" customWidth="1" collapsed="1"/>
    <col min="6" max="17" width="5.28125" style="332" customWidth="1"/>
    <col min="18" max="18" width="6.28125" style="332" customWidth="1"/>
    <col min="19" max="19" width="6.7109375" style="332" customWidth="1"/>
    <col min="20" max="20" width="8.140625" style="332" customWidth="1"/>
    <col min="21" max="16384" width="9.140625" style="221" customWidth="1"/>
  </cols>
  <sheetData>
    <row r="1" spans="1:20" s="311" customFormat="1" ht="15.75" customHeight="1">
      <c r="A1" s="516" t="s">
        <v>485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</row>
    <row r="2" spans="1:20" ht="14.25" customHeight="1">
      <c r="A2" s="518" t="s">
        <v>34</v>
      </c>
      <c r="B2" s="518" t="s">
        <v>104</v>
      </c>
      <c r="C2" s="518" t="s">
        <v>90</v>
      </c>
      <c r="D2" s="312"/>
      <c r="E2" s="518" t="s">
        <v>160</v>
      </c>
      <c r="F2" s="512" t="s">
        <v>51</v>
      </c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4"/>
      <c r="R2" s="519" t="s">
        <v>126</v>
      </c>
      <c r="S2" s="517" t="s">
        <v>84</v>
      </c>
      <c r="T2" s="517" t="s">
        <v>35</v>
      </c>
    </row>
    <row r="3" spans="1:20" ht="21.75" customHeight="1">
      <c r="A3" s="518"/>
      <c r="B3" s="518"/>
      <c r="C3" s="518"/>
      <c r="D3" s="314" t="s">
        <v>94</v>
      </c>
      <c r="E3" s="518"/>
      <c r="F3" s="512" t="s">
        <v>36</v>
      </c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4"/>
      <c r="R3" s="519"/>
      <c r="S3" s="517"/>
      <c r="T3" s="517"/>
    </row>
    <row r="4" spans="1:20" ht="26.25" customHeight="1">
      <c r="A4" s="518"/>
      <c r="B4" s="518"/>
      <c r="C4" s="518"/>
      <c r="D4" s="315"/>
      <c r="E4" s="518"/>
      <c r="F4" s="313">
        <v>1</v>
      </c>
      <c r="G4" s="313">
        <v>2</v>
      </c>
      <c r="H4" s="313">
        <v>3</v>
      </c>
      <c r="I4" s="313">
        <v>4</v>
      </c>
      <c r="J4" s="313">
        <v>5</v>
      </c>
      <c r="K4" s="313">
        <v>6</v>
      </c>
      <c r="L4" s="313">
        <v>7</v>
      </c>
      <c r="M4" s="313">
        <v>8</v>
      </c>
      <c r="N4" s="313">
        <v>9</v>
      </c>
      <c r="O4" s="313">
        <v>10</v>
      </c>
      <c r="P4" s="313">
        <v>11</v>
      </c>
      <c r="Q4" s="313">
        <v>12</v>
      </c>
      <c r="R4" s="519"/>
      <c r="S4" s="517"/>
      <c r="T4" s="517"/>
    </row>
    <row r="5" spans="1:20" ht="13.5" customHeight="1">
      <c r="A5" s="316">
        <v>1</v>
      </c>
      <c r="B5" s="316" t="s">
        <v>26</v>
      </c>
      <c r="C5" s="326">
        <v>80</v>
      </c>
      <c r="D5" s="317">
        <v>67</v>
      </c>
      <c r="E5" s="349">
        <f>C5*D5/100</f>
        <v>53.6</v>
      </c>
      <c r="F5" s="318">
        <f>Меню!L8</f>
        <v>60</v>
      </c>
      <c r="G5" s="318">
        <f>Меню!L107</f>
        <v>50</v>
      </c>
      <c r="H5" s="318">
        <f>Меню!L206</f>
        <v>40</v>
      </c>
      <c r="I5" s="318">
        <f>Меню!L301</f>
        <v>40</v>
      </c>
      <c r="J5" s="318">
        <f>Меню!L424</f>
        <v>50</v>
      </c>
      <c r="K5" s="318">
        <f>Меню!L512</f>
        <v>60</v>
      </c>
      <c r="L5" s="318">
        <f>Меню!L596</f>
        <v>60</v>
      </c>
      <c r="M5" s="318">
        <f>Меню!L737</f>
        <v>60</v>
      </c>
      <c r="N5" s="318">
        <f>Меню!L828</f>
        <v>70</v>
      </c>
      <c r="O5" s="318">
        <f>Меню!L941</f>
        <v>50</v>
      </c>
      <c r="P5" s="318">
        <f>Меню!L1018</f>
        <v>40</v>
      </c>
      <c r="Q5" s="318">
        <f>Меню!L1129</f>
        <v>60</v>
      </c>
      <c r="R5" s="318">
        <f>SUM(F5:Q5)</f>
        <v>640</v>
      </c>
      <c r="S5" s="319">
        <f>R5/12</f>
        <v>53.333333333333336</v>
      </c>
      <c r="T5" s="347">
        <f>S5*100/E5</f>
        <v>99.50248756218906</v>
      </c>
    </row>
    <row r="6" spans="1:20" ht="13.5" customHeight="1">
      <c r="A6" s="316">
        <f>A5+1</f>
        <v>2</v>
      </c>
      <c r="B6" s="316" t="s">
        <v>131</v>
      </c>
      <c r="C6" s="347">
        <v>150</v>
      </c>
      <c r="D6" s="317">
        <v>48</v>
      </c>
      <c r="E6" s="349">
        <f aca="true" t="shared" si="0" ref="E6:E35">C6*D6/100</f>
        <v>72</v>
      </c>
      <c r="F6" s="318">
        <f>Меню!L9</f>
        <v>60</v>
      </c>
      <c r="G6" s="318">
        <f>Меню!L108</f>
        <v>50</v>
      </c>
      <c r="H6" s="318">
        <f>Меню!L207</f>
        <v>75</v>
      </c>
      <c r="I6" s="318">
        <f>Меню!L302</f>
        <v>75</v>
      </c>
      <c r="J6" s="318">
        <f>Меню!L425</f>
        <v>95</v>
      </c>
      <c r="K6" s="318">
        <f>Меню!L513</f>
        <v>81</v>
      </c>
      <c r="L6" s="318">
        <f>Меню!L597</f>
        <v>88</v>
      </c>
      <c r="M6" s="318">
        <f>Меню!L738</f>
        <v>70</v>
      </c>
      <c r="N6" s="318">
        <f>Меню!L830</f>
        <v>70</v>
      </c>
      <c r="O6" s="318">
        <f>Меню!L942</f>
        <v>80</v>
      </c>
      <c r="P6" s="318">
        <f>Меню!L1019</f>
        <v>40</v>
      </c>
      <c r="Q6" s="318">
        <f>Меню!L1130</f>
        <v>80</v>
      </c>
      <c r="R6" s="318">
        <f aca="true" t="shared" si="1" ref="R6:R35">SUM(F6:Q6)</f>
        <v>864</v>
      </c>
      <c r="S6" s="319">
        <f aca="true" t="shared" si="2" ref="S6:S35">R6/12</f>
        <v>72</v>
      </c>
      <c r="T6" s="347">
        <f aca="true" t="shared" si="3" ref="T6:T35">S6*100/E6</f>
        <v>100</v>
      </c>
    </row>
    <row r="7" spans="1:20" ht="13.5" customHeight="1">
      <c r="A7" s="316">
        <f aca="true" t="shared" si="4" ref="A7:A32">A6+1</f>
        <v>3</v>
      </c>
      <c r="B7" s="316" t="s">
        <v>161</v>
      </c>
      <c r="C7" s="326">
        <v>15</v>
      </c>
      <c r="D7" s="320">
        <v>70</v>
      </c>
      <c r="E7" s="349">
        <f t="shared" si="0"/>
        <v>10.5</v>
      </c>
      <c r="F7" s="318">
        <f>Меню!L10</f>
        <v>0</v>
      </c>
      <c r="G7" s="318">
        <f>Меню!L109</f>
        <v>19.5</v>
      </c>
      <c r="H7" s="318">
        <f>Меню!L208</f>
        <v>0</v>
      </c>
      <c r="I7" s="318">
        <f>Меню!L303</f>
        <v>6.5</v>
      </c>
      <c r="J7" s="318">
        <f>Меню!L426</f>
        <v>8.5</v>
      </c>
      <c r="K7" s="318">
        <f>Меню!L514</f>
        <v>0</v>
      </c>
      <c r="L7" s="318">
        <f>Меню!L598</f>
        <v>8.5</v>
      </c>
      <c r="M7" s="318">
        <f>Меню!L739</f>
        <v>2</v>
      </c>
      <c r="N7" s="318">
        <f>Меню!L831</f>
        <v>8</v>
      </c>
      <c r="O7" s="318">
        <f>Меню!L943</f>
        <v>14.5</v>
      </c>
      <c r="P7" s="318">
        <f>Меню!L1020</f>
        <v>59</v>
      </c>
      <c r="Q7" s="318">
        <f>Меню!L1131</f>
        <v>0</v>
      </c>
      <c r="R7" s="318">
        <f t="shared" si="1"/>
        <v>126.5</v>
      </c>
      <c r="S7" s="319">
        <f t="shared" si="2"/>
        <v>10.541666666666666</v>
      </c>
      <c r="T7" s="347">
        <f t="shared" si="3"/>
        <v>100.39682539682538</v>
      </c>
    </row>
    <row r="8" spans="1:20" s="311" customFormat="1" ht="13.5" customHeight="1">
      <c r="A8" s="316">
        <f t="shared" si="4"/>
        <v>4</v>
      </c>
      <c r="B8" s="322" t="s">
        <v>67</v>
      </c>
      <c r="C8" s="328">
        <v>45</v>
      </c>
      <c r="D8" s="320">
        <v>78.5</v>
      </c>
      <c r="E8" s="349">
        <f t="shared" si="0"/>
        <v>35.325</v>
      </c>
      <c r="F8" s="318">
        <f>Меню!L11</f>
        <v>10</v>
      </c>
      <c r="G8" s="318">
        <f>Меню!L110</f>
        <v>68</v>
      </c>
      <c r="H8" s="318">
        <f>Меню!L209</f>
        <v>8.5</v>
      </c>
      <c r="I8" s="318">
        <f>Меню!L304</f>
        <v>38</v>
      </c>
      <c r="J8" s="318">
        <f>Меню!L427</f>
        <v>16.666666666666668</v>
      </c>
      <c r="K8" s="318">
        <f>Меню!L515</f>
        <v>84</v>
      </c>
      <c r="L8" s="318">
        <f>Меню!L599</f>
        <v>0</v>
      </c>
      <c r="M8" s="318">
        <f>Меню!L740</f>
        <v>54</v>
      </c>
      <c r="N8" s="318">
        <f>Меню!L832</f>
        <v>76</v>
      </c>
      <c r="O8" s="318">
        <f>Меню!L944</f>
        <v>5</v>
      </c>
      <c r="P8" s="318">
        <f>Меню!L1021</f>
        <v>64</v>
      </c>
      <c r="Q8" s="318">
        <f>Меню!L1132</f>
        <v>0</v>
      </c>
      <c r="R8" s="318">
        <f t="shared" si="1"/>
        <v>424.16666666666663</v>
      </c>
      <c r="S8" s="319">
        <f t="shared" si="2"/>
        <v>35.34722222222222</v>
      </c>
      <c r="T8" s="347">
        <f t="shared" si="3"/>
        <v>100.06290791853424</v>
      </c>
    </row>
    <row r="9" spans="1:20" s="311" customFormat="1" ht="13.5" customHeight="1">
      <c r="A9" s="316">
        <f t="shared" si="4"/>
        <v>5</v>
      </c>
      <c r="B9" s="322" t="s">
        <v>66</v>
      </c>
      <c r="C9" s="328">
        <v>15</v>
      </c>
      <c r="D9" s="320">
        <v>82</v>
      </c>
      <c r="E9" s="349">
        <f t="shared" si="0"/>
        <v>12.3</v>
      </c>
      <c r="F9" s="318">
        <f>Меню!L12</f>
        <v>0</v>
      </c>
      <c r="G9" s="318">
        <f>Меню!L111</f>
        <v>0</v>
      </c>
      <c r="H9" s="318">
        <f>Меню!L210</f>
        <v>0</v>
      </c>
      <c r="I9" s="318">
        <f>Меню!L305</f>
        <v>0</v>
      </c>
      <c r="J9" s="318">
        <f>Меню!L428</f>
        <v>65</v>
      </c>
      <c r="K9" s="318">
        <f>Меню!L516</f>
        <v>0</v>
      </c>
      <c r="L9" s="318">
        <f>Меню!L600</f>
        <v>20</v>
      </c>
      <c r="M9" s="318">
        <f>Меню!L741</f>
        <v>0</v>
      </c>
      <c r="N9" s="318">
        <f>Меню!L833</f>
        <v>0</v>
      </c>
      <c r="O9" s="318">
        <f>Меню!L945</f>
        <v>0</v>
      </c>
      <c r="P9" s="318">
        <f>Меню!L1022</f>
        <v>0</v>
      </c>
      <c r="Q9" s="318">
        <f>Меню!L1133</f>
        <v>62</v>
      </c>
      <c r="R9" s="318">
        <f t="shared" si="1"/>
        <v>147</v>
      </c>
      <c r="S9" s="319">
        <f t="shared" si="2"/>
        <v>12.25</v>
      </c>
      <c r="T9" s="347">
        <f t="shared" si="3"/>
        <v>99.59349593495935</v>
      </c>
    </row>
    <row r="10" spans="1:20" ht="13.5" customHeight="1">
      <c r="A10" s="316">
        <f t="shared" si="4"/>
        <v>6</v>
      </c>
      <c r="B10" s="316" t="s">
        <v>27</v>
      </c>
      <c r="C10" s="326">
        <v>188</v>
      </c>
      <c r="D10" s="320">
        <v>77</v>
      </c>
      <c r="E10" s="349">
        <f t="shared" si="0"/>
        <v>144.76</v>
      </c>
      <c r="F10" s="318">
        <f>Меню!L13</f>
        <v>194</v>
      </c>
      <c r="G10" s="318">
        <f>Меню!L112</f>
        <v>181</v>
      </c>
      <c r="H10" s="318">
        <f>Меню!L211</f>
        <v>180</v>
      </c>
      <c r="I10" s="318">
        <f>Меню!L306</f>
        <v>166</v>
      </c>
      <c r="J10" s="318">
        <f>Меню!L429</f>
        <v>212</v>
      </c>
      <c r="K10" s="318">
        <f>Меню!L517</f>
        <v>43.333333333333336</v>
      </c>
      <c r="L10" s="318">
        <f>Меню!L601</f>
        <v>158</v>
      </c>
      <c r="M10" s="318">
        <f>Меню!L742</f>
        <v>100</v>
      </c>
      <c r="N10" s="318">
        <f>Меню!L834</f>
        <v>28</v>
      </c>
      <c r="O10" s="318">
        <f>Меню!L946</f>
        <v>203</v>
      </c>
      <c r="P10" s="318">
        <f>Меню!L1023</f>
        <v>87</v>
      </c>
      <c r="Q10" s="318">
        <f>Меню!L1134</f>
        <v>181</v>
      </c>
      <c r="R10" s="318">
        <f t="shared" si="1"/>
        <v>1733.3333333333335</v>
      </c>
      <c r="S10" s="319">
        <f t="shared" si="2"/>
        <v>144.44444444444446</v>
      </c>
      <c r="T10" s="347">
        <f t="shared" si="3"/>
        <v>99.78201467563171</v>
      </c>
    </row>
    <row r="11" spans="1:20" ht="33.75" customHeight="1">
      <c r="A11" s="316">
        <f t="shared" si="4"/>
        <v>7</v>
      </c>
      <c r="B11" s="322" t="s">
        <v>210</v>
      </c>
      <c r="C11" s="326">
        <v>280</v>
      </c>
      <c r="D11" s="320">
        <v>63</v>
      </c>
      <c r="E11" s="349">
        <f t="shared" si="0"/>
        <v>176.4</v>
      </c>
      <c r="F11" s="318">
        <f>Меню!L14</f>
        <v>181.075</v>
      </c>
      <c r="G11" s="318">
        <f>Меню!L113</f>
        <v>79.5</v>
      </c>
      <c r="H11" s="318">
        <f>Меню!L212</f>
        <v>178</v>
      </c>
      <c r="I11" s="318">
        <f>Меню!L307</f>
        <v>179.5</v>
      </c>
      <c r="J11" s="318">
        <f>Меню!L430</f>
        <v>141</v>
      </c>
      <c r="K11" s="318">
        <f>Меню!L518</f>
        <v>156.83333333333331</v>
      </c>
      <c r="L11" s="318">
        <f>Меню!L602</f>
        <v>272</v>
      </c>
      <c r="M11" s="318">
        <f>Меню!L743</f>
        <v>161.1</v>
      </c>
      <c r="N11" s="318">
        <f>Меню!L835</f>
        <v>462.2</v>
      </c>
      <c r="O11" s="318">
        <f>Меню!L947</f>
        <v>86.2</v>
      </c>
      <c r="P11" s="318">
        <f>Меню!L1024</f>
        <v>92.2</v>
      </c>
      <c r="Q11" s="318">
        <f>Меню!L1135</f>
        <v>133.7</v>
      </c>
      <c r="R11" s="318">
        <f t="shared" si="1"/>
        <v>2123.3083333333334</v>
      </c>
      <c r="S11" s="319">
        <f t="shared" si="2"/>
        <v>176.94236111111113</v>
      </c>
      <c r="T11" s="347">
        <f t="shared" si="3"/>
        <v>100.30746094734191</v>
      </c>
    </row>
    <row r="12" spans="1:20" ht="15" customHeight="1">
      <c r="A12" s="316">
        <f t="shared" si="4"/>
        <v>8</v>
      </c>
      <c r="B12" s="316" t="s">
        <v>28</v>
      </c>
      <c r="C12" s="326">
        <v>185</v>
      </c>
      <c r="D12" s="320">
        <v>68.5</v>
      </c>
      <c r="E12" s="349">
        <f t="shared" si="0"/>
        <v>126.725</v>
      </c>
      <c r="F12" s="318">
        <f>Меню!L15</f>
        <v>160</v>
      </c>
      <c r="G12" s="318">
        <f>Меню!L114</f>
        <v>150</v>
      </c>
      <c r="H12" s="318">
        <f>Меню!L213</f>
        <v>181</v>
      </c>
      <c r="I12" s="318">
        <f>Меню!L308</f>
        <v>170</v>
      </c>
      <c r="J12" s="318">
        <f>Меню!L431</f>
        <v>25</v>
      </c>
      <c r="K12" s="318">
        <f>Меню!L519</f>
        <v>150</v>
      </c>
      <c r="L12" s="318">
        <f>Меню!L603</f>
        <v>157</v>
      </c>
      <c r="M12" s="318">
        <f>Меню!L744</f>
        <v>185</v>
      </c>
      <c r="N12" s="318">
        <f>Меню!L836</f>
        <v>0</v>
      </c>
      <c r="O12" s="318">
        <f>Меню!L948</f>
        <v>31</v>
      </c>
      <c r="P12" s="318">
        <f>Меню!L1025</f>
        <v>160</v>
      </c>
      <c r="Q12" s="318">
        <f>Меню!L1136</f>
        <v>150</v>
      </c>
      <c r="R12" s="318">
        <f t="shared" si="1"/>
        <v>1519</v>
      </c>
      <c r="S12" s="319">
        <f t="shared" si="2"/>
        <v>126.58333333333333</v>
      </c>
      <c r="T12" s="347">
        <f t="shared" si="3"/>
        <v>99.88820937726047</v>
      </c>
    </row>
    <row r="13" spans="1:20" ht="15" customHeight="1">
      <c r="A13" s="316">
        <f t="shared" si="4"/>
        <v>9</v>
      </c>
      <c r="B13" s="316" t="s">
        <v>177</v>
      </c>
      <c r="C13" s="326">
        <v>15</v>
      </c>
      <c r="D13" s="319">
        <v>41.5</v>
      </c>
      <c r="E13" s="349">
        <f t="shared" si="0"/>
        <v>6.225</v>
      </c>
      <c r="F13" s="318">
        <f>Меню!L16</f>
        <v>0</v>
      </c>
      <c r="G13" s="318">
        <f>Меню!L115</f>
        <v>0</v>
      </c>
      <c r="H13" s="318">
        <f>Меню!L214</f>
        <v>0</v>
      </c>
      <c r="I13" s="318">
        <f>Меню!L309</f>
        <v>25</v>
      </c>
      <c r="J13" s="318">
        <f>Меню!L432</f>
        <v>0</v>
      </c>
      <c r="K13" s="318">
        <f>Меню!L520</f>
        <v>25</v>
      </c>
      <c r="L13" s="318">
        <f>Меню!L604</f>
        <v>0</v>
      </c>
      <c r="M13" s="318">
        <f>Меню!L745</f>
        <v>0</v>
      </c>
      <c r="N13" s="318">
        <f>Меню!L837</f>
        <v>25</v>
      </c>
      <c r="O13" s="318">
        <f>Меню!L949</f>
        <v>0</v>
      </c>
      <c r="P13" s="318">
        <f>Меню!L1026</f>
        <v>0</v>
      </c>
      <c r="Q13" s="318">
        <f>Меню!L1137</f>
        <v>0</v>
      </c>
      <c r="R13" s="318">
        <f t="shared" si="1"/>
        <v>75</v>
      </c>
      <c r="S13" s="319">
        <f t="shared" si="2"/>
        <v>6.25</v>
      </c>
      <c r="T13" s="347">
        <f t="shared" si="3"/>
        <v>100.40160642570282</v>
      </c>
    </row>
    <row r="14" spans="1:20" ht="37.5" customHeight="1">
      <c r="A14" s="316">
        <f t="shared" si="4"/>
        <v>10</v>
      </c>
      <c r="B14" s="322" t="s">
        <v>211</v>
      </c>
      <c r="C14" s="326">
        <v>30</v>
      </c>
      <c r="D14" s="320">
        <v>77</v>
      </c>
      <c r="E14" s="349">
        <f t="shared" si="0"/>
        <v>23.1</v>
      </c>
      <c r="F14" s="318">
        <f>Меню!L17</f>
        <v>16</v>
      </c>
      <c r="G14" s="318">
        <f>Меню!L116</f>
        <v>12</v>
      </c>
      <c r="H14" s="318">
        <f>Меню!L215</f>
        <v>37</v>
      </c>
      <c r="I14" s="318">
        <f>Меню!L310</f>
        <v>15</v>
      </c>
      <c r="J14" s="318">
        <f>Меню!L433</f>
        <v>27</v>
      </c>
      <c r="K14" s="318">
        <f>Меню!L521</f>
        <v>30.6</v>
      </c>
      <c r="L14" s="318">
        <f>Меню!L605</f>
        <v>15</v>
      </c>
      <c r="M14" s="318">
        <f>Меню!L746</f>
        <v>27</v>
      </c>
      <c r="N14" s="318">
        <f>Меню!L838</f>
        <v>28</v>
      </c>
      <c r="O14" s="318">
        <f>Меню!L950</f>
        <v>36</v>
      </c>
      <c r="P14" s="318">
        <f>Меню!L1027</f>
        <v>18</v>
      </c>
      <c r="Q14" s="318">
        <f>Меню!L1138</f>
        <v>15</v>
      </c>
      <c r="R14" s="318">
        <f t="shared" si="1"/>
        <v>276.6</v>
      </c>
      <c r="S14" s="319">
        <f t="shared" si="2"/>
        <v>23.05</v>
      </c>
      <c r="T14" s="347">
        <f t="shared" si="3"/>
        <v>99.78354978354977</v>
      </c>
    </row>
    <row r="15" spans="1:20" s="61" customFormat="1" ht="13.5" customHeight="1">
      <c r="A15" s="316">
        <f t="shared" si="4"/>
        <v>11</v>
      </c>
      <c r="B15" s="322" t="s">
        <v>375</v>
      </c>
      <c r="C15" s="326">
        <v>200</v>
      </c>
      <c r="D15" s="320">
        <v>50</v>
      </c>
      <c r="E15" s="349">
        <f t="shared" si="0"/>
        <v>100</v>
      </c>
      <c r="F15" s="318">
        <f>Меню!L18</f>
        <v>200</v>
      </c>
      <c r="G15" s="318">
        <f>Меню!L117</f>
        <v>200</v>
      </c>
      <c r="H15" s="318">
        <f>Меню!L216</f>
        <v>0</v>
      </c>
      <c r="I15" s="318">
        <f>Меню!L311</f>
        <v>200</v>
      </c>
      <c r="J15" s="318">
        <f>Меню!L434</f>
        <v>0</v>
      </c>
      <c r="K15" s="318">
        <f>Меню!L522</f>
        <v>0</v>
      </c>
      <c r="L15" s="318">
        <f>Меню!L606</f>
        <v>200</v>
      </c>
      <c r="M15" s="318">
        <f>Меню!L747</f>
        <v>0</v>
      </c>
      <c r="N15" s="318">
        <f>Меню!L839</f>
        <v>0</v>
      </c>
      <c r="O15" s="318">
        <f>Меню!L951</f>
        <v>0</v>
      </c>
      <c r="P15" s="318">
        <f>Меню!L1028</f>
        <v>200</v>
      </c>
      <c r="Q15" s="318">
        <f>Меню!L1139</f>
        <v>200</v>
      </c>
      <c r="R15" s="323">
        <f t="shared" si="1"/>
        <v>1200</v>
      </c>
      <c r="S15" s="321">
        <f t="shared" si="2"/>
        <v>100</v>
      </c>
      <c r="T15" s="347">
        <f t="shared" si="3"/>
        <v>100</v>
      </c>
    </row>
    <row r="16" spans="1:20" s="61" customFormat="1" ht="13.5" customHeight="1">
      <c r="A16" s="324">
        <f t="shared" si="4"/>
        <v>12</v>
      </c>
      <c r="B16" s="324" t="s">
        <v>29</v>
      </c>
      <c r="C16" s="326">
        <v>10</v>
      </c>
      <c r="D16" s="320">
        <v>67</v>
      </c>
      <c r="E16" s="349">
        <f t="shared" si="0"/>
        <v>6.7</v>
      </c>
      <c r="F16" s="318">
        <f>Меню!L19</f>
        <v>20</v>
      </c>
      <c r="G16" s="318">
        <f>Меню!L118</f>
        <v>0</v>
      </c>
      <c r="H16" s="318">
        <f>Меню!L217</f>
        <v>0</v>
      </c>
      <c r="I16" s="318">
        <f>Меню!L312</f>
        <v>0</v>
      </c>
      <c r="J16" s="318">
        <f>Меню!L435</f>
        <v>0</v>
      </c>
      <c r="K16" s="318">
        <f>Меню!L523</f>
        <v>0</v>
      </c>
      <c r="L16" s="318">
        <f>Меню!L607</f>
        <v>0</v>
      </c>
      <c r="M16" s="318">
        <f>Меню!L748</f>
        <v>20</v>
      </c>
      <c r="N16" s="318">
        <f>Меню!L840</f>
        <v>20</v>
      </c>
      <c r="O16" s="318">
        <f>Меню!L952</f>
        <v>20</v>
      </c>
      <c r="P16" s="318">
        <f>Меню!L1029</f>
        <v>0</v>
      </c>
      <c r="Q16" s="318">
        <f>Меню!L1140</f>
        <v>0</v>
      </c>
      <c r="R16" s="323">
        <f t="shared" si="1"/>
        <v>80</v>
      </c>
      <c r="S16" s="321">
        <f t="shared" si="2"/>
        <v>6.666666666666667</v>
      </c>
      <c r="T16" s="347">
        <f t="shared" si="3"/>
        <v>99.50248756218906</v>
      </c>
    </row>
    <row r="17" spans="1:20" s="353" customFormat="1" ht="13.5" customHeight="1">
      <c r="A17" s="352">
        <f t="shared" si="4"/>
        <v>13</v>
      </c>
      <c r="B17" s="352" t="s">
        <v>71</v>
      </c>
      <c r="C17" s="348">
        <v>0.2</v>
      </c>
      <c r="D17" s="319">
        <v>18.8</v>
      </c>
      <c r="E17" s="401">
        <f t="shared" si="0"/>
        <v>0.0376</v>
      </c>
      <c r="F17" s="318">
        <f>Меню!L20</f>
        <v>0</v>
      </c>
      <c r="G17" s="318">
        <f>Меню!L119</f>
        <v>0</v>
      </c>
      <c r="H17" s="318">
        <f>Меню!L218</f>
        <v>0</v>
      </c>
      <c r="I17" s="318">
        <f>Меню!L313</f>
        <v>0</v>
      </c>
      <c r="J17" s="318">
        <f>Меню!L436</f>
        <v>0</v>
      </c>
      <c r="K17" s="318">
        <f>Меню!L524</f>
        <v>0</v>
      </c>
      <c r="L17" s="318">
        <f>Меню!L608</f>
        <v>0</v>
      </c>
      <c r="M17" s="318">
        <f>Меню!L749</f>
        <v>0</v>
      </c>
      <c r="N17" s="318">
        <f>Меню!L841</f>
        <v>0</v>
      </c>
      <c r="O17" s="318">
        <f>Меню!L953</f>
        <v>0</v>
      </c>
      <c r="P17" s="318">
        <f>Меню!L1030</f>
        <v>0.45</v>
      </c>
      <c r="Q17" s="331">
        <f>Меню!L1141</f>
        <v>0</v>
      </c>
      <c r="R17" s="318">
        <f t="shared" si="1"/>
        <v>0.45</v>
      </c>
      <c r="S17" s="351">
        <f t="shared" si="2"/>
        <v>0.0375</v>
      </c>
      <c r="T17" s="347">
        <f t="shared" si="3"/>
        <v>99.73404255319149</v>
      </c>
    </row>
    <row r="18" spans="1:20" ht="13.5" customHeight="1">
      <c r="A18" s="316">
        <f t="shared" si="4"/>
        <v>14</v>
      </c>
      <c r="B18" s="316" t="s">
        <v>189</v>
      </c>
      <c r="C18" s="326">
        <v>1</v>
      </c>
      <c r="D18" s="320">
        <v>83</v>
      </c>
      <c r="E18" s="350">
        <f t="shared" si="0"/>
        <v>0.83</v>
      </c>
      <c r="F18" s="318">
        <f>Меню!L21</f>
        <v>0</v>
      </c>
      <c r="G18" s="318">
        <f>Меню!L120</f>
        <v>0</v>
      </c>
      <c r="H18" s="318">
        <f>Меню!L219</f>
        <v>0</v>
      </c>
      <c r="I18" s="318">
        <f>Меню!L314</f>
        <v>0</v>
      </c>
      <c r="J18" s="318">
        <f>Меню!L437</f>
        <v>0</v>
      </c>
      <c r="K18" s="318">
        <f>Меню!L525</f>
        <v>5</v>
      </c>
      <c r="L18" s="318">
        <f>Меню!L609</f>
        <v>0</v>
      </c>
      <c r="M18" s="318">
        <f>Меню!L750</f>
        <v>0</v>
      </c>
      <c r="N18" s="318">
        <f>Меню!L842</f>
        <v>0</v>
      </c>
      <c r="O18" s="318">
        <f>Меню!L954</f>
        <v>0</v>
      </c>
      <c r="P18" s="318">
        <f>Меню!L1031</f>
        <v>0</v>
      </c>
      <c r="Q18" s="318">
        <f>Меню!L1142</f>
        <v>5</v>
      </c>
      <c r="R18" s="318">
        <f t="shared" si="1"/>
        <v>10</v>
      </c>
      <c r="S18" s="319">
        <f t="shared" si="2"/>
        <v>0.8333333333333334</v>
      </c>
      <c r="T18" s="347">
        <f t="shared" si="3"/>
        <v>100.40160642570282</v>
      </c>
    </row>
    <row r="19" spans="1:20" ht="13.5" customHeight="1">
      <c r="A19" s="316">
        <f t="shared" si="4"/>
        <v>15</v>
      </c>
      <c r="B19" s="316" t="s">
        <v>190</v>
      </c>
      <c r="C19" s="326">
        <v>2</v>
      </c>
      <c r="D19" s="320">
        <v>33.5</v>
      </c>
      <c r="E19" s="349">
        <f t="shared" si="0"/>
        <v>0.67</v>
      </c>
      <c r="F19" s="318">
        <f>Меню!L22</f>
        <v>4</v>
      </c>
      <c r="G19" s="318">
        <f>Меню!L121</f>
        <v>0</v>
      </c>
      <c r="H19" s="318">
        <f>Меню!L220</f>
        <v>0</v>
      </c>
      <c r="I19" s="318">
        <f>Меню!L315</f>
        <v>0</v>
      </c>
      <c r="J19" s="318">
        <f>Меню!L438</f>
        <v>0</v>
      </c>
      <c r="K19" s="318">
        <f>Меню!L526</f>
        <v>0</v>
      </c>
      <c r="L19" s="318">
        <f>Меню!L610</f>
        <v>0</v>
      </c>
      <c r="M19" s="318">
        <f>Меню!L751</f>
        <v>0</v>
      </c>
      <c r="N19" s="318">
        <f>Меню!L843</f>
        <v>4</v>
      </c>
      <c r="O19" s="318">
        <f>Меню!L955</f>
        <v>0</v>
      </c>
      <c r="P19" s="318">
        <f>Меню!L1032</f>
        <v>0</v>
      </c>
      <c r="Q19" s="318">
        <f>Меню!L1143</f>
        <v>0</v>
      </c>
      <c r="R19" s="318">
        <f t="shared" si="1"/>
        <v>8</v>
      </c>
      <c r="S19" s="319">
        <f t="shared" si="2"/>
        <v>0.6666666666666666</v>
      </c>
      <c r="T19" s="347">
        <f t="shared" si="3"/>
        <v>99.50248756218903</v>
      </c>
    </row>
    <row r="20" spans="1:20" ht="13.5" customHeight="1">
      <c r="A20" s="316">
        <f t="shared" si="4"/>
        <v>16</v>
      </c>
      <c r="B20" s="325" t="s">
        <v>30</v>
      </c>
      <c r="C20" s="348">
        <v>1</v>
      </c>
      <c r="D20" s="320">
        <v>58.5</v>
      </c>
      <c r="E20" s="350">
        <f t="shared" si="0"/>
        <v>0.585</v>
      </c>
      <c r="F20" s="318">
        <f>Меню!L23</f>
        <v>0</v>
      </c>
      <c r="G20" s="318">
        <f>Меню!L122</f>
        <v>1</v>
      </c>
      <c r="H20" s="318">
        <f>Меню!L221</f>
        <v>1</v>
      </c>
      <c r="I20" s="318">
        <f>Меню!L316</f>
        <v>0</v>
      </c>
      <c r="J20" s="318">
        <f>Меню!L439</f>
        <v>1</v>
      </c>
      <c r="K20" s="318">
        <f>Меню!L527</f>
        <v>0</v>
      </c>
      <c r="L20" s="318">
        <f>Меню!L611</f>
        <v>1</v>
      </c>
      <c r="M20" s="318">
        <f>Меню!L752</f>
        <v>1</v>
      </c>
      <c r="N20" s="318">
        <f>Меню!L844</f>
        <v>0</v>
      </c>
      <c r="O20" s="318">
        <f>Меню!L956</f>
        <v>1</v>
      </c>
      <c r="P20" s="318">
        <f>Меню!L1033</f>
        <v>1</v>
      </c>
      <c r="Q20" s="318">
        <f>Меню!L1144</f>
        <v>0</v>
      </c>
      <c r="R20" s="318">
        <f>SUM(F20:Q20)</f>
        <v>7</v>
      </c>
      <c r="S20" s="319">
        <f t="shared" si="2"/>
        <v>0.5833333333333334</v>
      </c>
      <c r="T20" s="347">
        <f t="shared" si="3"/>
        <v>99.71509971509973</v>
      </c>
    </row>
    <row r="21" spans="1:20" ht="13.5" customHeight="1">
      <c r="A21" s="316">
        <f t="shared" si="4"/>
        <v>17</v>
      </c>
      <c r="B21" s="316" t="s">
        <v>179</v>
      </c>
      <c r="C21" s="326">
        <v>70</v>
      </c>
      <c r="D21" s="320">
        <v>73.5</v>
      </c>
      <c r="E21" s="350">
        <f t="shared" si="0"/>
        <v>51.45</v>
      </c>
      <c r="F21" s="318">
        <f>Меню!L24</f>
        <v>16</v>
      </c>
      <c r="G21" s="318">
        <f>Меню!L123</f>
        <v>17</v>
      </c>
      <c r="H21" s="318">
        <f>Меню!L222</f>
        <v>0</v>
      </c>
      <c r="I21" s="318">
        <f>Меню!L317</f>
        <v>100</v>
      </c>
      <c r="J21" s="318">
        <f>Меню!L440</f>
        <v>95</v>
      </c>
      <c r="K21" s="318">
        <f>Меню!L528</f>
        <v>84</v>
      </c>
      <c r="L21" s="318">
        <f>Меню!L612</f>
        <v>99</v>
      </c>
      <c r="M21" s="318">
        <f>Меню!L753</f>
        <v>0</v>
      </c>
      <c r="N21" s="318">
        <f>Меню!L845</f>
        <v>95</v>
      </c>
      <c r="O21" s="318">
        <f>Меню!L957</f>
        <v>16</v>
      </c>
      <c r="P21" s="318">
        <f>Меню!L1034</f>
        <v>0</v>
      </c>
      <c r="Q21" s="318">
        <f>Меню!L1145</f>
        <v>96</v>
      </c>
      <c r="R21" s="318">
        <f t="shared" si="1"/>
        <v>618</v>
      </c>
      <c r="S21" s="319">
        <f t="shared" si="2"/>
        <v>51.5</v>
      </c>
      <c r="T21" s="347">
        <f t="shared" si="3"/>
        <v>100.09718172983479</v>
      </c>
    </row>
    <row r="22" spans="1:20" ht="13.5" customHeight="1">
      <c r="A22" s="316">
        <f t="shared" si="4"/>
        <v>18</v>
      </c>
      <c r="B22" s="322" t="s">
        <v>181</v>
      </c>
      <c r="C22" s="326">
        <v>35</v>
      </c>
      <c r="D22" s="320">
        <v>80</v>
      </c>
      <c r="E22" s="349">
        <f t="shared" si="0"/>
        <v>28</v>
      </c>
      <c r="F22" s="318">
        <f>Меню!L25</f>
        <v>0</v>
      </c>
      <c r="G22" s="318">
        <f>Меню!L124</f>
        <v>0</v>
      </c>
      <c r="H22" s="318">
        <f>Меню!L223</f>
        <v>62</v>
      </c>
      <c r="I22" s="318" t="str">
        <f>Меню!L318</f>
        <v>43</v>
      </c>
      <c r="J22" s="318">
        <f>Меню!L441</f>
        <v>72</v>
      </c>
      <c r="K22" s="318">
        <f>Меню!L529</f>
        <v>0</v>
      </c>
      <c r="L22" s="318">
        <f>Меню!L613</f>
        <v>46</v>
      </c>
      <c r="M22" s="318">
        <f>Меню!L754</f>
        <v>69</v>
      </c>
      <c r="N22" s="318">
        <f>Меню!L846</f>
        <v>60</v>
      </c>
      <c r="O22" s="318">
        <f>Меню!L958</f>
        <v>0</v>
      </c>
      <c r="P22" s="318">
        <f>Меню!L1035</f>
        <v>26</v>
      </c>
      <c r="Q22" s="318">
        <f>Меню!L1146</f>
        <v>0</v>
      </c>
      <c r="R22" s="318">
        <f t="shared" si="1"/>
        <v>335</v>
      </c>
      <c r="S22" s="319">
        <f t="shared" si="2"/>
        <v>27.916666666666668</v>
      </c>
      <c r="T22" s="347">
        <f t="shared" si="3"/>
        <v>99.70238095238096</v>
      </c>
    </row>
    <row r="23" spans="1:20" ht="13.5" customHeight="1">
      <c r="A23" s="316">
        <f t="shared" si="4"/>
        <v>19</v>
      </c>
      <c r="B23" s="316" t="s">
        <v>180</v>
      </c>
      <c r="C23" s="326">
        <v>30</v>
      </c>
      <c r="D23" s="319">
        <v>46.5</v>
      </c>
      <c r="E23" s="349">
        <f t="shared" si="0"/>
        <v>13.95</v>
      </c>
      <c r="F23" s="318">
        <f>Меню!L26</f>
        <v>0</v>
      </c>
      <c r="G23" s="318">
        <f>Меню!L125</f>
        <v>75</v>
      </c>
      <c r="H23" s="318">
        <f>Меню!L224</f>
        <v>0</v>
      </c>
      <c r="I23" s="318">
        <f>Меню!L319</f>
        <v>0</v>
      </c>
      <c r="J23" s="318">
        <f>Меню!L442</f>
        <v>0</v>
      </c>
      <c r="K23" s="318">
        <f>Меню!L530</f>
        <v>0</v>
      </c>
      <c r="L23" s="318">
        <f>Меню!L614</f>
        <v>0</v>
      </c>
      <c r="M23" s="318">
        <f>Меню!L755</f>
        <v>0</v>
      </c>
      <c r="N23" s="318">
        <f>Меню!L847</f>
        <v>0</v>
      </c>
      <c r="O23" s="318">
        <f>Меню!L959</f>
        <v>0</v>
      </c>
      <c r="P23" s="318">
        <f>Меню!L1036</f>
        <v>93</v>
      </c>
      <c r="Q23" s="318">
        <f>Меню!L1147</f>
        <v>0</v>
      </c>
      <c r="R23" s="318">
        <f t="shared" si="1"/>
        <v>168</v>
      </c>
      <c r="S23" s="319">
        <f t="shared" si="2"/>
        <v>14</v>
      </c>
      <c r="T23" s="347">
        <f t="shared" si="3"/>
        <v>100.3584229390681</v>
      </c>
    </row>
    <row r="24" spans="1:20" ht="13.5" customHeight="1">
      <c r="A24" s="316">
        <f t="shared" si="4"/>
        <v>20</v>
      </c>
      <c r="B24" s="322" t="s">
        <v>182</v>
      </c>
      <c r="C24" s="326">
        <v>58</v>
      </c>
      <c r="D24" s="320">
        <v>68</v>
      </c>
      <c r="E24" s="350">
        <f t="shared" si="0"/>
        <v>39.44</v>
      </c>
      <c r="F24" s="318">
        <f>Меню!L27</f>
        <v>111</v>
      </c>
      <c r="G24" s="318">
        <f>Меню!L126</f>
        <v>113</v>
      </c>
      <c r="H24" s="318">
        <f>Меню!L225</f>
        <v>58</v>
      </c>
      <c r="I24" s="318">
        <f>Меню!L320</f>
        <v>0</v>
      </c>
      <c r="J24" s="318">
        <f>Меню!L443</f>
        <v>0</v>
      </c>
      <c r="K24" s="318">
        <f>Меню!L531</f>
        <v>0</v>
      </c>
      <c r="L24" s="318">
        <f>Меню!L615</f>
        <v>0</v>
      </c>
      <c r="M24" s="318">
        <f>Меню!L756</f>
        <v>68</v>
      </c>
      <c r="N24" s="318">
        <f>Меню!L848</f>
        <v>20</v>
      </c>
      <c r="O24" s="318">
        <f>Меню!L960</f>
        <v>102</v>
      </c>
      <c r="P24" s="318">
        <f>Меню!L1037</f>
        <v>0</v>
      </c>
      <c r="Q24" s="318">
        <f>Меню!L1148</f>
        <v>0</v>
      </c>
      <c r="R24" s="318">
        <f>SUM(F24:Q24)</f>
        <v>472</v>
      </c>
      <c r="S24" s="319">
        <f t="shared" si="2"/>
        <v>39.333333333333336</v>
      </c>
      <c r="T24" s="347">
        <f t="shared" si="3"/>
        <v>99.72954699121028</v>
      </c>
    </row>
    <row r="25" spans="1:20" s="311" customFormat="1" ht="13.5" customHeight="1">
      <c r="A25" s="316">
        <f t="shared" si="4"/>
        <v>21</v>
      </c>
      <c r="B25" s="327" t="s">
        <v>82</v>
      </c>
      <c r="C25" s="328">
        <v>300</v>
      </c>
      <c r="D25" s="320">
        <v>28</v>
      </c>
      <c r="E25" s="349">
        <f t="shared" si="0"/>
        <v>84</v>
      </c>
      <c r="F25" s="318">
        <f>Меню!L28</f>
        <v>97</v>
      </c>
      <c r="G25" s="318">
        <f>Меню!L127</f>
        <v>23</v>
      </c>
      <c r="H25" s="318">
        <f>Меню!L226</f>
        <v>30</v>
      </c>
      <c r="I25" s="318">
        <f>Меню!L321</f>
        <v>25</v>
      </c>
      <c r="J25" s="318">
        <f>Меню!L444</f>
        <v>14</v>
      </c>
      <c r="K25" s="318">
        <f>Меню!L532</f>
        <v>324</v>
      </c>
      <c r="L25" s="318">
        <f>Меню!L616</f>
        <v>52</v>
      </c>
      <c r="M25" s="318">
        <f>Меню!L757</f>
        <v>47</v>
      </c>
      <c r="N25" s="318">
        <f>Меню!L849</f>
        <v>68</v>
      </c>
      <c r="O25" s="318">
        <f>Меню!L961</f>
        <v>23</v>
      </c>
      <c r="P25" s="318">
        <f>Меню!L1038</f>
        <v>175.6</v>
      </c>
      <c r="Q25" s="318">
        <f>Меню!L1149</f>
        <v>130</v>
      </c>
      <c r="R25" s="318">
        <f t="shared" si="1"/>
        <v>1008.6</v>
      </c>
      <c r="S25" s="319">
        <f t="shared" si="2"/>
        <v>84.05</v>
      </c>
      <c r="T25" s="347">
        <f t="shared" si="3"/>
        <v>100.05952380952381</v>
      </c>
    </row>
    <row r="26" spans="1:20" s="61" customFormat="1" ht="13.5" customHeight="1">
      <c r="A26" s="324">
        <f t="shared" si="4"/>
        <v>22</v>
      </c>
      <c r="B26" s="329" t="s">
        <v>183</v>
      </c>
      <c r="C26" s="330">
        <v>150</v>
      </c>
      <c r="D26" s="319">
        <v>13.9</v>
      </c>
      <c r="E26" s="349">
        <f>C26*D26/100</f>
        <v>20.85</v>
      </c>
      <c r="F26" s="318">
        <f>Меню!L29</f>
        <v>125</v>
      </c>
      <c r="G26" s="318">
        <f>Меню!L128</f>
        <v>0</v>
      </c>
      <c r="H26" s="318">
        <f>Меню!L227</f>
        <v>0</v>
      </c>
      <c r="I26" s="318">
        <f>Меню!L322</f>
        <v>0</v>
      </c>
      <c r="J26" s="318">
        <f>Меню!L445</f>
        <v>0</v>
      </c>
      <c r="K26" s="318">
        <f>Меню!L533</f>
        <v>0</v>
      </c>
      <c r="L26" s="318">
        <f>Меню!L617</f>
        <v>0</v>
      </c>
      <c r="M26" s="318">
        <f>Меню!L758</f>
        <v>0</v>
      </c>
      <c r="N26" s="318">
        <f>Меню!L850</f>
        <v>0</v>
      </c>
      <c r="O26" s="318">
        <f>Меню!L962</f>
        <v>125</v>
      </c>
      <c r="P26" s="318">
        <f>Меню!L1039</f>
        <v>0</v>
      </c>
      <c r="Q26" s="318">
        <f>Меню!L1150</f>
        <v>0</v>
      </c>
      <c r="R26" s="323">
        <f t="shared" si="1"/>
        <v>250</v>
      </c>
      <c r="S26" s="321">
        <f t="shared" si="2"/>
        <v>20.833333333333332</v>
      </c>
      <c r="T26" s="347">
        <f t="shared" si="3"/>
        <v>99.9200639488409</v>
      </c>
    </row>
    <row r="27" spans="1:20" ht="13.5" customHeight="1">
      <c r="A27" s="316">
        <f t="shared" si="4"/>
        <v>23</v>
      </c>
      <c r="B27" s="322" t="s">
        <v>184</v>
      </c>
      <c r="C27" s="326">
        <v>50</v>
      </c>
      <c r="D27" s="320">
        <v>41.5</v>
      </c>
      <c r="E27" s="349">
        <f t="shared" si="0"/>
        <v>20.75</v>
      </c>
      <c r="F27" s="318">
        <f>Меню!L30</f>
        <v>0</v>
      </c>
      <c r="G27" s="318">
        <f>Меню!L129</f>
        <v>0</v>
      </c>
      <c r="H27" s="318">
        <f>Меню!L228</f>
        <v>113</v>
      </c>
      <c r="I27" s="318">
        <f>Меню!L323</f>
        <v>0</v>
      </c>
      <c r="J27" s="318">
        <f>Меню!L446</f>
        <v>0</v>
      </c>
      <c r="K27" s="318">
        <f>Меню!L534</f>
        <v>0</v>
      </c>
      <c r="L27" s="318">
        <f>Меню!L618</f>
        <v>0</v>
      </c>
      <c r="M27" s="318">
        <f>Меню!L759</f>
        <v>0</v>
      </c>
      <c r="N27" s="318">
        <f>Меню!L851</f>
        <v>0</v>
      </c>
      <c r="O27" s="318">
        <f>Меню!L963</f>
        <v>136</v>
      </c>
      <c r="P27" s="318">
        <f>Меню!L1040</f>
        <v>0</v>
      </c>
      <c r="Q27" s="318">
        <f>Меню!L1151</f>
        <v>0</v>
      </c>
      <c r="R27" s="318">
        <f t="shared" si="1"/>
        <v>249</v>
      </c>
      <c r="S27" s="319">
        <f t="shared" si="2"/>
        <v>20.75</v>
      </c>
      <c r="T27" s="347">
        <f t="shared" si="3"/>
        <v>100</v>
      </c>
    </row>
    <row r="28" spans="1:20" s="311" customFormat="1" ht="13.5" customHeight="1">
      <c r="A28" s="316">
        <f t="shared" si="4"/>
        <v>24</v>
      </c>
      <c r="B28" s="316" t="s">
        <v>31</v>
      </c>
      <c r="C28" s="326">
        <v>10</v>
      </c>
      <c r="D28" s="320">
        <v>86</v>
      </c>
      <c r="E28" s="350">
        <f t="shared" si="0"/>
        <v>8.6</v>
      </c>
      <c r="F28" s="318">
        <f>Меню!L31</f>
        <v>5</v>
      </c>
      <c r="G28" s="318">
        <f>Меню!L130</f>
        <v>17.5</v>
      </c>
      <c r="H28" s="318">
        <f>Меню!L229</f>
        <v>4</v>
      </c>
      <c r="I28" s="318">
        <f>Меню!L324</f>
        <v>15</v>
      </c>
      <c r="J28" s="318">
        <f>Меню!L447</f>
        <v>0</v>
      </c>
      <c r="K28" s="318">
        <f>Меню!L535</f>
        <v>5</v>
      </c>
      <c r="L28" s="318">
        <f>Меню!L619</f>
        <v>15</v>
      </c>
      <c r="M28" s="318">
        <f>Меню!L760</f>
        <v>0</v>
      </c>
      <c r="N28" s="318">
        <f>Меню!L852</f>
        <v>5</v>
      </c>
      <c r="O28" s="318">
        <f>Меню!L964</f>
        <v>13</v>
      </c>
      <c r="P28" s="318">
        <f>Меню!L1041</f>
        <v>19</v>
      </c>
      <c r="Q28" s="318">
        <f>Меню!L1152</f>
        <v>5</v>
      </c>
      <c r="R28" s="318">
        <f t="shared" si="1"/>
        <v>103.5</v>
      </c>
      <c r="S28" s="319">
        <f t="shared" si="2"/>
        <v>8.625</v>
      </c>
      <c r="T28" s="347">
        <f t="shared" si="3"/>
        <v>100.29069767441861</v>
      </c>
    </row>
    <row r="29" spans="1:20" ht="12.75">
      <c r="A29" s="316">
        <f t="shared" si="4"/>
        <v>25</v>
      </c>
      <c r="B29" s="316" t="s">
        <v>185</v>
      </c>
      <c r="C29" s="326">
        <v>10</v>
      </c>
      <c r="D29" s="320">
        <v>77.5</v>
      </c>
      <c r="E29" s="350">
        <f t="shared" si="0"/>
        <v>7.75</v>
      </c>
      <c r="F29" s="318">
        <f>Меню!L32</f>
        <v>0</v>
      </c>
      <c r="G29" s="318">
        <f>Меню!L131</f>
        <v>5</v>
      </c>
      <c r="H29" s="318">
        <f>Меню!L230</f>
        <v>15</v>
      </c>
      <c r="I29" s="318">
        <f>Меню!L325</f>
        <v>6</v>
      </c>
      <c r="J29" s="318">
        <f>Меню!L448</f>
        <v>4</v>
      </c>
      <c r="K29" s="318">
        <f>Меню!L536</f>
        <v>15</v>
      </c>
      <c r="L29" s="318">
        <f>Меню!L620</f>
        <v>15</v>
      </c>
      <c r="M29" s="318">
        <f>Меню!L761</f>
        <v>0</v>
      </c>
      <c r="N29" s="318">
        <f>Меню!L853</f>
        <v>0</v>
      </c>
      <c r="O29" s="318">
        <f>Меню!L965</f>
        <v>0</v>
      </c>
      <c r="P29" s="318">
        <f>Меню!L1042</f>
        <v>18</v>
      </c>
      <c r="Q29" s="318">
        <f>Меню!L1153</f>
        <v>15</v>
      </c>
      <c r="R29" s="318">
        <f t="shared" si="1"/>
        <v>93</v>
      </c>
      <c r="S29" s="319">
        <f t="shared" si="2"/>
        <v>7.75</v>
      </c>
      <c r="T29" s="347">
        <f t="shared" si="3"/>
        <v>100</v>
      </c>
    </row>
    <row r="30" spans="1:20" ht="13.5" customHeight="1">
      <c r="A30" s="316">
        <f t="shared" si="4"/>
        <v>26</v>
      </c>
      <c r="B30" s="316" t="s">
        <v>32</v>
      </c>
      <c r="C30" s="347">
        <v>30</v>
      </c>
      <c r="D30" s="320">
        <v>69.5</v>
      </c>
      <c r="E30" s="349">
        <f t="shared" si="0"/>
        <v>20.85</v>
      </c>
      <c r="F30" s="318">
        <f>Меню!L33</f>
        <v>15</v>
      </c>
      <c r="G30" s="318">
        <f>Меню!L132</f>
        <v>19</v>
      </c>
      <c r="H30" s="318">
        <f>Меню!L231</f>
        <v>8</v>
      </c>
      <c r="I30" s="318">
        <f>Меню!L326</f>
        <v>28</v>
      </c>
      <c r="J30" s="318">
        <f>Меню!L449</f>
        <v>16</v>
      </c>
      <c r="K30" s="318">
        <f>Меню!L537</f>
        <v>24</v>
      </c>
      <c r="L30" s="318">
        <f>Меню!L621</f>
        <v>15</v>
      </c>
      <c r="M30" s="318">
        <f>Меню!L762</f>
        <v>14</v>
      </c>
      <c r="N30" s="318">
        <f>Меню!L854</f>
        <v>10</v>
      </c>
      <c r="O30" s="318">
        <f>Меню!L966</f>
        <v>27.5</v>
      </c>
      <c r="P30" s="318">
        <f>Меню!L1043</f>
        <v>43</v>
      </c>
      <c r="Q30" s="318">
        <f>Меню!L1154</f>
        <v>30</v>
      </c>
      <c r="R30" s="318">
        <f t="shared" si="1"/>
        <v>249.5</v>
      </c>
      <c r="S30" s="319">
        <f t="shared" si="2"/>
        <v>20.791666666666668</v>
      </c>
      <c r="T30" s="347">
        <f t="shared" si="3"/>
        <v>99.72022382094325</v>
      </c>
    </row>
    <row r="31" spans="1:20" ht="13.5" customHeight="1">
      <c r="A31" s="316">
        <f t="shared" si="4"/>
        <v>27</v>
      </c>
      <c r="B31" s="316" t="s">
        <v>33</v>
      </c>
      <c r="C31" s="326">
        <v>15</v>
      </c>
      <c r="D31" s="320">
        <v>71</v>
      </c>
      <c r="E31" s="350">
        <f t="shared" si="0"/>
        <v>10.65</v>
      </c>
      <c r="F31" s="318">
        <f>Меню!L34</f>
        <v>11</v>
      </c>
      <c r="G31" s="318">
        <f>Меню!L133</f>
        <v>13</v>
      </c>
      <c r="H31" s="318">
        <f>Меню!L232</f>
        <v>13</v>
      </c>
      <c r="I31" s="318">
        <f>Меню!L327</f>
        <v>8</v>
      </c>
      <c r="J31" s="318">
        <f>Меню!L450</f>
        <v>10.5</v>
      </c>
      <c r="K31" s="318">
        <f>Меню!L538</f>
        <v>2</v>
      </c>
      <c r="L31" s="318">
        <f>Меню!L622</f>
        <v>11</v>
      </c>
      <c r="M31" s="318">
        <f>Меню!L763</f>
        <v>10</v>
      </c>
      <c r="N31" s="318">
        <f>Меню!L855</f>
        <v>19</v>
      </c>
      <c r="O31" s="318">
        <f>Меню!L967</f>
        <v>7</v>
      </c>
      <c r="P31" s="318">
        <f>Меню!L1044</f>
        <v>7.5</v>
      </c>
      <c r="Q31" s="318">
        <f>Меню!L1155</f>
        <v>16</v>
      </c>
      <c r="R31" s="318">
        <f t="shared" si="1"/>
        <v>128</v>
      </c>
      <c r="S31" s="319">
        <f t="shared" si="2"/>
        <v>10.666666666666666</v>
      </c>
      <c r="T31" s="347">
        <f t="shared" si="3"/>
        <v>100.15649452269169</v>
      </c>
    </row>
    <row r="32" spans="1:20" s="63" customFormat="1" ht="13.5" customHeight="1">
      <c r="A32" s="316">
        <f t="shared" si="4"/>
        <v>28</v>
      </c>
      <c r="B32" s="316" t="s">
        <v>186</v>
      </c>
      <c r="C32" s="326">
        <v>40</v>
      </c>
      <c r="D32" s="320">
        <v>82</v>
      </c>
      <c r="E32" s="349">
        <f t="shared" si="0"/>
        <v>32.8</v>
      </c>
      <c r="F32" s="318">
        <f>Меню!L35</f>
        <v>125</v>
      </c>
      <c r="G32" s="318">
        <f>Меню!L134</f>
        <v>30.2</v>
      </c>
      <c r="H32" s="318">
        <f>Меню!L233</f>
        <v>4</v>
      </c>
      <c r="I32" s="318">
        <f>Меню!L328</f>
        <v>10.5</v>
      </c>
      <c r="J32" s="318">
        <f>Меню!L451</f>
        <v>4</v>
      </c>
      <c r="K32" s="318">
        <f>Меню!L539</f>
        <v>4.7</v>
      </c>
      <c r="L32" s="318">
        <f>Меню!L623</f>
        <v>11.5</v>
      </c>
      <c r="M32" s="318">
        <f>Меню!L764</f>
        <v>126.8</v>
      </c>
      <c r="N32" s="318">
        <f>Меню!L856</f>
        <v>6.5</v>
      </c>
      <c r="O32" s="318">
        <f>Меню!L968</f>
        <v>8</v>
      </c>
      <c r="P32" s="318">
        <f>Меню!L1045</f>
        <v>22.5</v>
      </c>
      <c r="Q32" s="318">
        <f>Меню!L1156</f>
        <v>41.2</v>
      </c>
      <c r="R32" s="318">
        <f t="shared" si="1"/>
        <v>394.9</v>
      </c>
      <c r="S32" s="319">
        <f t="shared" si="2"/>
        <v>32.90833333333333</v>
      </c>
      <c r="T32" s="347">
        <f t="shared" si="3"/>
        <v>100.33028455284553</v>
      </c>
    </row>
    <row r="33" spans="1:20" s="63" customFormat="1" ht="13.5" customHeight="1">
      <c r="A33" s="316">
        <v>29</v>
      </c>
      <c r="B33" s="316" t="s">
        <v>352</v>
      </c>
      <c r="C33" s="326">
        <v>3</v>
      </c>
      <c r="D33" s="319">
        <v>33.5</v>
      </c>
      <c r="E33" s="350">
        <f t="shared" si="0"/>
        <v>1.005</v>
      </c>
      <c r="F33" s="318">
        <f>Меню!L36</f>
        <v>0</v>
      </c>
      <c r="G33" s="318">
        <f>Меню!L135</f>
        <v>0</v>
      </c>
      <c r="H33" s="318">
        <f>Меню!L234</f>
        <v>6</v>
      </c>
      <c r="I33" s="318">
        <f>Меню!L329</f>
        <v>0</v>
      </c>
      <c r="J33" s="318">
        <f>Меню!L452</f>
        <v>0</v>
      </c>
      <c r="K33" s="318">
        <f>Меню!L540</f>
        <v>0</v>
      </c>
      <c r="L33" s="318">
        <f>Меню!L624</f>
        <v>0</v>
      </c>
      <c r="M33" s="318">
        <f>Меню!L765</f>
        <v>0</v>
      </c>
      <c r="N33" s="318">
        <f>Меню!L857</f>
        <v>0</v>
      </c>
      <c r="O33" s="318">
        <f>Меню!L969</f>
        <v>6</v>
      </c>
      <c r="P33" s="318">
        <f>Меню!L1046</f>
        <v>0</v>
      </c>
      <c r="Q33" s="318">
        <f>Меню!L1157</f>
        <v>0</v>
      </c>
      <c r="R33" s="318">
        <f>SUM(F33:Q33)</f>
        <v>12</v>
      </c>
      <c r="S33" s="319">
        <f>R33/12</f>
        <v>1</v>
      </c>
      <c r="T33" s="347">
        <f>S33*100/E33</f>
        <v>99.50248756218906</v>
      </c>
    </row>
    <row r="34" spans="1:20" ht="13.5" customHeight="1">
      <c r="A34" s="316">
        <v>30</v>
      </c>
      <c r="B34" s="322" t="s">
        <v>188</v>
      </c>
      <c r="C34" s="326">
        <v>3</v>
      </c>
      <c r="D34" s="317">
        <v>50</v>
      </c>
      <c r="E34" s="350">
        <f t="shared" si="0"/>
        <v>1.5</v>
      </c>
      <c r="F34" s="331">
        <f>Меню!L37</f>
        <v>1.5</v>
      </c>
      <c r="G34" s="331">
        <f>Меню!L136</f>
        <v>1.5</v>
      </c>
      <c r="H34" s="331">
        <f>Меню!L235</f>
        <v>1.5</v>
      </c>
      <c r="I34" s="331">
        <f>Меню!L330</f>
        <v>1.5</v>
      </c>
      <c r="J34" s="331">
        <f>Меню!L453</f>
        <v>1.5</v>
      </c>
      <c r="K34" s="331">
        <f>Меню!L541</f>
        <v>1.5</v>
      </c>
      <c r="L34" s="331">
        <f>Меню!L625</f>
        <v>1.5</v>
      </c>
      <c r="M34" s="331">
        <f>Меню!L766</f>
        <v>1.5</v>
      </c>
      <c r="N34" s="331">
        <f>Меню!L858</f>
        <v>1.5</v>
      </c>
      <c r="O34" s="331">
        <f>Меню!L970</f>
        <v>1.5</v>
      </c>
      <c r="P34" s="331">
        <f>Меню!L1047</f>
        <v>1.5</v>
      </c>
      <c r="Q34" s="331">
        <f>Меню!L1158</f>
        <v>1.5</v>
      </c>
      <c r="R34" s="318">
        <f t="shared" si="1"/>
        <v>18</v>
      </c>
      <c r="S34" s="319">
        <f t="shared" si="2"/>
        <v>1.5</v>
      </c>
      <c r="T34" s="347">
        <f t="shared" si="3"/>
        <v>100</v>
      </c>
    </row>
    <row r="35" spans="1:20" ht="13.5" customHeight="1">
      <c r="A35" s="316">
        <v>31</v>
      </c>
      <c r="B35" s="316" t="s">
        <v>187</v>
      </c>
      <c r="C35" s="326">
        <v>2</v>
      </c>
      <c r="D35" s="317">
        <v>50</v>
      </c>
      <c r="E35" s="349">
        <f t="shared" si="0"/>
        <v>1</v>
      </c>
      <c r="F35" s="331">
        <f>Меню!L38</f>
        <v>1</v>
      </c>
      <c r="G35" s="331">
        <f>Меню!L137</f>
        <v>1</v>
      </c>
      <c r="H35" s="331">
        <f>Меню!L236</f>
        <v>1</v>
      </c>
      <c r="I35" s="331">
        <f>Меню!L331</f>
        <v>1</v>
      </c>
      <c r="J35" s="331">
        <f>Меню!L454</f>
        <v>1</v>
      </c>
      <c r="K35" s="331">
        <f>Меню!L542</f>
        <v>1</v>
      </c>
      <c r="L35" s="331">
        <f>Меню!L626</f>
        <v>1</v>
      </c>
      <c r="M35" s="331">
        <f>Меню!L767</f>
        <v>1</v>
      </c>
      <c r="N35" s="331">
        <f>Меню!L859</f>
        <v>1</v>
      </c>
      <c r="O35" s="331">
        <f>Меню!L971</f>
        <v>1</v>
      </c>
      <c r="P35" s="331">
        <f>Меню!L1048</f>
        <v>1</v>
      </c>
      <c r="Q35" s="331">
        <f>Меню!L1159</f>
        <v>1</v>
      </c>
      <c r="R35" s="318">
        <f t="shared" si="1"/>
        <v>12</v>
      </c>
      <c r="S35" s="319">
        <f t="shared" si="2"/>
        <v>1</v>
      </c>
      <c r="T35" s="347">
        <f t="shared" si="3"/>
        <v>100</v>
      </c>
    </row>
    <row r="36" spans="1:20" ht="34.5" customHeight="1">
      <c r="A36" s="515" t="s">
        <v>209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</row>
  </sheetData>
  <sheetProtection password="CF52" sheet="1"/>
  <mergeCells count="11">
    <mergeCell ref="F3:Q3"/>
    <mergeCell ref="F2:Q2"/>
    <mergeCell ref="A36:T36"/>
    <mergeCell ref="A1:T1"/>
    <mergeCell ref="S2:S4"/>
    <mergeCell ref="T2:T4"/>
    <mergeCell ref="E2:E4"/>
    <mergeCell ref="A2:A4"/>
    <mergeCell ref="B2:B4"/>
    <mergeCell ref="C2:C4"/>
    <mergeCell ref="R2:R4"/>
  </mergeCells>
  <conditionalFormatting sqref="T5:T35">
    <cfRule type="cellIs" priority="1" dxfId="0" operator="lessThan" stopIfTrue="1">
      <formula>95</formula>
    </cfRule>
    <cfRule type="cellIs" priority="2" dxfId="0" operator="greaterThan" stopIfTrue="1">
      <formula>105</formula>
    </cfRule>
    <cfRule type="cellIs" priority="3" dxfId="0" operator="greaterThan" stopIfTrue="1">
      <formula>105.49</formula>
    </cfRule>
  </conditionalFormatting>
  <printOptions horizontalCentered="1"/>
  <pageMargins left="0.3937007874015748" right="0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0.421875" style="155" customWidth="1"/>
    <col min="2" max="2" width="18.7109375" style="155" customWidth="1"/>
    <col min="3" max="3" width="17.7109375" style="155" customWidth="1"/>
    <col min="4" max="7" width="17.7109375" style="46" customWidth="1"/>
    <col min="8" max="8" width="9.140625" style="113" customWidth="1"/>
    <col min="9" max="9" width="15.7109375" style="113" customWidth="1"/>
    <col min="10" max="65" width="9.140625" style="113" customWidth="1"/>
    <col min="66" max="16384" width="9.140625" style="46" customWidth="1"/>
  </cols>
  <sheetData>
    <row r="1" spans="1:7" ht="27.75" customHeight="1" thickBot="1">
      <c r="A1" s="523" t="s">
        <v>213</v>
      </c>
      <c r="B1" s="523"/>
      <c r="C1" s="523"/>
      <c r="D1" s="523"/>
      <c r="E1" s="523"/>
      <c r="F1" s="523"/>
      <c r="G1" s="523"/>
    </row>
    <row r="2" spans="1:66" s="104" customFormat="1" ht="19.5" customHeight="1">
      <c r="A2" s="524" t="s">
        <v>95</v>
      </c>
      <c r="B2" s="249" t="s">
        <v>110</v>
      </c>
      <c r="C2" s="526" t="s">
        <v>35</v>
      </c>
      <c r="D2" s="249" t="s">
        <v>64</v>
      </c>
      <c r="E2" s="526" t="s">
        <v>35</v>
      </c>
      <c r="F2" s="250" t="s">
        <v>81</v>
      </c>
      <c r="G2" s="521" t="s">
        <v>35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2"/>
    </row>
    <row r="3" spans="1:66" s="104" customFormat="1" ht="19.5" customHeight="1">
      <c r="A3" s="525"/>
      <c r="B3" s="184" t="s">
        <v>137</v>
      </c>
      <c r="C3" s="527"/>
      <c r="D3" s="184" t="s">
        <v>139</v>
      </c>
      <c r="E3" s="527"/>
      <c r="F3" s="184" t="s">
        <v>159</v>
      </c>
      <c r="G3" s="522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2"/>
    </row>
    <row r="4" spans="1:66" s="104" customFormat="1" ht="19.5" customHeight="1">
      <c r="A4" s="525"/>
      <c r="B4" s="183" t="s">
        <v>138</v>
      </c>
      <c r="C4" s="527"/>
      <c r="D4" s="183" t="s">
        <v>140</v>
      </c>
      <c r="E4" s="527"/>
      <c r="F4" s="182" t="s">
        <v>164</v>
      </c>
      <c r="G4" s="522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2"/>
    </row>
    <row r="5" spans="1:66" s="104" customFormat="1" ht="24.75" customHeight="1">
      <c r="A5" s="271" t="s">
        <v>40</v>
      </c>
      <c r="B5" s="185">
        <f>Меню!H8</f>
        <v>565.4</v>
      </c>
      <c r="C5" s="185">
        <f aca="true" t="shared" si="0" ref="C5:C10">B5*100/2350</f>
        <v>24.059574468085106</v>
      </c>
      <c r="D5" s="185">
        <f>Меню!H40</f>
        <v>789.1666666666667</v>
      </c>
      <c r="E5" s="185">
        <f aca="true" t="shared" si="1" ref="E5:E10">D5*100/2350</f>
        <v>33.58156028368794</v>
      </c>
      <c r="F5" s="185">
        <f>Меню!H101</f>
        <v>1354.5666666666666</v>
      </c>
      <c r="G5" s="251">
        <f aca="true" t="shared" si="2" ref="G5:G10">F5*100/2350</f>
        <v>57.641134751773045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2"/>
    </row>
    <row r="6" spans="1:66" s="104" customFormat="1" ht="24.75" customHeight="1">
      <c r="A6" s="271" t="s">
        <v>41</v>
      </c>
      <c r="B6" s="185">
        <f>Меню!H105</f>
        <v>532.9</v>
      </c>
      <c r="C6" s="185">
        <f t="shared" si="0"/>
        <v>22.676595744680853</v>
      </c>
      <c r="D6" s="185">
        <f>Меню!H138</f>
        <v>823.4</v>
      </c>
      <c r="E6" s="185">
        <f t="shared" si="1"/>
        <v>35.03829787234042</v>
      </c>
      <c r="F6" s="185">
        <f>Меню!H201</f>
        <v>1356.3</v>
      </c>
      <c r="G6" s="251">
        <f t="shared" si="2"/>
        <v>57.714893617021275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2"/>
    </row>
    <row r="7" spans="1:66" s="104" customFormat="1" ht="24.75" customHeight="1">
      <c r="A7" s="271" t="s">
        <v>42</v>
      </c>
      <c r="B7" s="185">
        <f>Меню!H205</f>
        <v>501.525</v>
      </c>
      <c r="C7" s="185">
        <f t="shared" si="0"/>
        <v>21.341489361702127</v>
      </c>
      <c r="D7" s="185">
        <f>Меню!H237</f>
        <v>717.9333333333333</v>
      </c>
      <c r="E7" s="185">
        <f t="shared" si="1"/>
        <v>30.550354609929077</v>
      </c>
      <c r="F7" s="185">
        <f>Меню!H294</f>
        <v>1219.4583333333333</v>
      </c>
      <c r="G7" s="251">
        <f t="shared" si="2"/>
        <v>51.891843971631204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2"/>
    </row>
    <row r="8" spans="1:66" s="104" customFormat="1" ht="24.75" customHeight="1">
      <c r="A8" s="271" t="s">
        <v>43</v>
      </c>
      <c r="B8" s="185">
        <f>Меню!H298</f>
        <v>550.8</v>
      </c>
      <c r="C8" s="185">
        <f t="shared" si="0"/>
        <v>23.43829787234042</v>
      </c>
      <c r="D8" s="185">
        <f>Меню!H364</f>
        <v>805.3</v>
      </c>
      <c r="E8" s="185">
        <f t="shared" si="1"/>
        <v>34.268085106382976</v>
      </c>
      <c r="F8" s="185">
        <f>Меню!H414</f>
        <v>1356.1</v>
      </c>
      <c r="G8" s="251">
        <f t="shared" si="2"/>
        <v>57.706382978723404</v>
      </c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2"/>
    </row>
    <row r="9" spans="1:66" s="104" customFormat="1" ht="24.75" customHeight="1">
      <c r="A9" s="271" t="s">
        <v>44</v>
      </c>
      <c r="B9" s="185">
        <f>Меню!H418</f>
        <v>480.2</v>
      </c>
      <c r="C9" s="185">
        <f t="shared" si="0"/>
        <v>20.43404255319149</v>
      </c>
      <c r="D9" s="185">
        <f>Меню!H437</f>
        <v>793.5813333333334</v>
      </c>
      <c r="E9" s="185">
        <f t="shared" si="1"/>
        <v>33.76941843971632</v>
      </c>
      <c r="F9" s="185">
        <f>Меню!H503</f>
        <v>1273.7813333333334</v>
      </c>
      <c r="G9" s="251">
        <f t="shared" si="2"/>
        <v>54.2034609929078</v>
      </c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2"/>
    </row>
    <row r="10" spans="1:66" s="104" customFormat="1" ht="24.75" customHeight="1">
      <c r="A10" s="271" t="s">
        <v>45</v>
      </c>
      <c r="B10" s="185">
        <f>Меню!H507</f>
        <v>524.7</v>
      </c>
      <c r="C10" s="185">
        <f t="shared" si="0"/>
        <v>22.32765957446809</v>
      </c>
      <c r="D10" s="185">
        <f>Меню!H533</f>
        <v>800.1666666666666</v>
      </c>
      <c r="E10" s="185">
        <f t="shared" si="1"/>
        <v>34.04964539007092</v>
      </c>
      <c r="F10" s="185">
        <f>Меню!H584</f>
        <v>1324.8666666666668</v>
      </c>
      <c r="G10" s="251">
        <f t="shared" si="2"/>
        <v>56.377304964539015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2"/>
    </row>
    <row r="11" spans="1:66" s="104" customFormat="1" ht="24.75" customHeight="1">
      <c r="A11" s="272" t="s">
        <v>191</v>
      </c>
      <c r="B11" s="248">
        <f aca="true" t="shared" si="3" ref="B11:G11">SUM(B5:B10)/6</f>
        <v>525.9208333333332</v>
      </c>
      <c r="C11" s="248">
        <f t="shared" si="3"/>
        <v>22.379609929078015</v>
      </c>
      <c r="D11" s="248">
        <f t="shared" si="3"/>
        <v>788.2580000000002</v>
      </c>
      <c r="E11" s="248">
        <f t="shared" si="3"/>
        <v>33.54289361702127</v>
      </c>
      <c r="F11" s="248">
        <f t="shared" si="3"/>
        <v>1314.1788333333332</v>
      </c>
      <c r="G11" s="252">
        <f t="shared" si="3"/>
        <v>55.922503546099286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2"/>
    </row>
    <row r="12" spans="1:66" s="104" customFormat="1" ht="24.75" customHeight="1">
      <c r="A12" s="271" t="s">
        <v>46</v>
      </c>
      <c r="B12" s="185">
        <f>Меню!H591</f>
        <v>554.0999999999999</v>
      </c>
      <c r="C12" s="185">
        <f aca="true" t="shared" si="4" ref="C12:C17">B12*100/2350</f>
        <v>23.578723404255317</v>
      </c>
      <c r="D12" s="185">
        <f>Меню!H646</f>
        <v>804.8</v>
      </c>
      <c r="E12" s="185">
        <f aca="true" t="shared" si="5" ref="E12:E17">D12*100/2350</f>
        <v>34.246808510638296</v>
      </c>
      <c r="F12" s="185">
        <f>Меню!H728</f>
        <v>1358.8999999999999</v>
      </c>
      <c r="G12" s="251">
        <f aca="true" t="shared" si="6" ref="G12:G17">F12*100/2350</f>
        <v>57.82553191489362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2"/>
    </row>
    <row r="13" spans="1:66" s="104" customFormat="1" ht="24.75" customHeight="1">
      <c r="A13" s="271" t="s">
        <v>47</v>
      </c>
      <c r="B13" s="185">
        <f>Меню!H732</f>
        <v>534.5</v>
      </c>
      <c r="C13" s="185">
        <f t="shared" si="4"/>
        <v>22.74468085106383</v>
      </c>
      <c r="D13" s="185">
        <f>Меню!H759</f>
        <v>789</v>
      </c>
      <c r="E13" s="185">
        <f t="shared" si="5"/>
        <v>33.57446808510638</v>
      </c>
      <c r="F13" s="185">
        <f>Меню!H817</f>
        <v>1323.5</v>
      </c>
      <c r="G13" s="251">
        <f t="shared" si="6"/>
        <v>56.319148936170215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2"/>
    </row>
    <row r="14" spans="1:66" s="104" customFormat="1" ht="24.75" customHeight="1">
      <c r="A14" s="271" t="s">
        <v>48</v>
      </c>
      <c r="B14" s="185">
        <f>Меню!H821</f>
        <v>582.5333333333332</v>
      </c>
      <c r="C14" s="185">
        <f t="shared" si="4"/>
        <v>24.788652482269498</v>
      </c>
      <c r="D14" s="185">
        <f>Меню!H849</f>
        <v>784.3499999999999</v>
      </c>
      <c r="E14" s="185">
        <f t="shared" si="5"/>
        <v>33.37659574468084</v>
      </c>
      <c r="F14" s="185">
        <f>Меню!H930</f>
        <v>1366.8833333333332</v>
      </c>
      <c r="G14" s="251">
        <f t="shared" si="6"/>
        <v>58.16524822695035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2"/>
    </row>
    <row r="15" spans="1:66" s="104" customFormat="1" ht="24.75" customHeight="1">
      <c r="A15" s="271" t="s">
        <v>49</v>
      </c>
      <c r="B15" s="185">
        <f>Меню!H934</f>
        <v>533.9000000000001</v>
      </c>
      <c r="C15" s="185">
        <f t="shared" si="4"/>
        <v>22.719148936170217</v>
      </c>
      <c r="D15" s="185">
        <f>Меню!H951</f>
        <v>757.15</v>
      </c>
      <c r="E15" s="185">
        <f t="shared" si="5"/>
        <v>32.219148936170214</v>
      </c>
      <c r="F15" s="185">
        <f>Меню!H1008</f>
        <v>1291.0500000000002</v>
      </c>
      <c r="G15" s="251">
        <f t="shared" si="6"/>
        <v>54.938297872340435</v>
      </c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2"/>
    </row>
    <row r="16" spans="1:66" s="104" customFormat="1" ht="24.75" customHeight="1">
      <c r="A16" s="271" t="s">
        <v>107</v>
      </c>
      <c r="B16" s="185">
        <f>Меню!H1012</f>
        <v>570.8</v>
      </c>
      <c r="C16" s="185">
        <f t="shared" si="4"/>
        <v>24.289361702127657</v>
      </c>
      <c r="D16" s="185">
        <f>Меню!H1057</f>
        <v>718.4416666666666</v>
      </c>
      <c r="E16" s="185">
        <f t="shared" si="5"/>
        <v>30.571985815602833</v>
      </c>
      <c r="F16" s="185">
        <f>Меню!H1120</f>
        <v>1289.2416666666666</v>
      </c>
      <c r="G16" s="251">
        <f t="shared" si="6"/>
        <v>54.86134751773049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2"/>
    </row>
    <row r="17" spans="1:66" s="104" customFormat="1" ht="24.75" customHeight="1">
      <c r="A17" s="271" t="s">
        <v>108</v>
      </c>
      <c r="B17" s="185">
        <f>Меню!H1124</f>
        <v>585.3</v>
      </c>
      <c r="C17" s="185">
        <f t="shared" si="4"/>
        <v>24.9063829787234</v>
      </c>
      <c r="D17" s="185">
        <f>Меню!H1145</f>
        <v>812.95</v>
      </c>
      <c r="E17" s="185">
        <f t="shared" si="5"/>
        <v>34.59361702127659</v>
      </c>
      <c r="F17" s="185">
        <f>Меню!H1206</f>
        <v>1398.25</v>
      </c>
      <c r="G17" s="251">
        <f t="shared" si="6"/>
        <v>59.5</v>
      </c>
      <c r="H17" s="113"/>
      <c r="I17" s="113">
        <f>836-823</f>
        <v>13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2"/>
    </row>
    <row r="18" spans="1:7" ht="24.75" customHeight="1">
      <c r="A18" s="272" t="s">
        <v>191</v>
      </c>
      <c r="B18" s="248">
        <f aca="true" t="shared" si="7" ref="B18:G18">SUM(B12:B17)/6</f>
        <v>560.1888888888889</v>
      </c>
      <c r="C18" s="248">
        <f t="shared" si="7"/>
        <v>23.83782505910165</v>
      </c>
      <c r="D18" s="248">
        <f t="shared" si="7"/>
        <v>777.7819444444444</v>
      </c>
      <c r="E18" s="248">
        <f t="shared" si="7"/>
        <v>33.097104018912525</v>
      </c>
      <c r="F18" s="248">
        <f t="shared" si="7"/>
        <v>1337.9708333333333</v>
      </c>
      <c r="G18" s="252">
        <f t="shared" si="7"/>
        <v>56.934929078014186</v>
      </c>
    </row>
    <row r="19" spans="1:7" ht="24.75" customHeight="1" thickBot="1">
      <c r="A19" s="253" t="s">
        <v>72</v>
      </c>
      <c r="B19" s="254">
        <f aca="true" t="shared" si="8" ref="B19:G19">(B18+B11)/2</f>
        <v>543.054861111111</v>
      </c>
      <c r="C19" s="254">
        <f t="shared" si="8"/>
        <v>23.10871749408983</v>
      </c>
      <c r="D19" s="254">
        <f t="shared" si="8"/>
        <v>783.0199722222223</v>
      </c>
      <c r="E19" s="254">
        <f t="shared" si="8"/>
        <v>33.3199988179669</v>
      </c>
      <c r="F19" s="254">
        <f t="shared" si="8"/>
        <v>1326.0748333333331</v>
      </c>
      <c r="G19" s="255">
        <f t="shared" si="8"/>
        <v>56.428716312056736</v>
      </c>
    </row>
    <row r="20" spans="1:7" ht="18.75" customHeight="1">
      <c r="A20" s="528" t="s">
        <v>503</v>
      </c>
      <c r="B20" s="528"/>
      <c r="C20" s="528"/>
      <c r="D20" s="528"/>
      <c r="E20" s="528"/>
      <c r="F20" s="528"/>
      <c r="G20" s="528"/>
    </row>
    <row r="21" spans="1:7" ht="18.75" customHeight="1">
      <c r="A21" s="520" t="s">
        <v>504</v>
      </c>
      <c r="B21" s="520"/>
      <c r="C21" s="520"/>
      <c r="D21" s="520"/>
      <c r="E21" s="520"/>
      <c r="F21" s="520"/>
      <c r="G21" s="520"/>
    </row>
    <row r="23" ht="12.75">
      <c r="B23" s="186"/>
    </row>
  </sheetData>
  <sheetProtection password="CF52" sheet="1"/>
  <mergeCells count="7">
    <mergeCell ref="A21:G21"/>
    <mergeCell ref="G2:G4"/>
    <mergeCell ref="A1:G1"/>
    <mergeCell ref="A2:A4"/>
    <mergeCell ref="E2:E4"/>
    <mergeCell ref="C2:C4"/>
    <mergeCell ref="A20:G20"/>
  </mergeCells>
  <conditionalFormatting sqref="B5:B19">
    <cfRule type="cellIs" priority="5" dxfId="0" operator="lessThan" stopIfTrue="1">
      <formula>470</formula>
    </cfRule>
    <cfRule type="cellIs" priority="6" dxfId="0" operator="greaterThan" stopIfTrue="1">
      <formula>588.49</formula>
    </cfRule>
  </conditionalFormatting>
  <conditionalFormatting sqref="D5:D19">
    <cfRule type="cellIs" priority="3" dxfId="0" operator="lessThan" stopIfTrue="1">
      <formula>705</formula>
    </cfRule>
    <cfRule type="cellIs" priority="4" dxfId="0" operator="greaterThan" stopIfTrue="1">
      <formula>823.49</formula>
    </cfRule>
  </conditionalFormatting>
  <conditionalFormatting sqref="F5:F19">
    <cfRule type="cellIs" priority="1" dxfId="0" operator="lessThan" stopIfTrue="1">
      <formula>1175</formula>
    </cfRule>
    <cfRule type="cellIs" priority="2" dxfId="0" operator="greaterThan" stopIfTrue="1">
      <formula>1410</formula>
    </cfRule>
  </conditionalFormatting>
  <printOptions/>
  <pageMargins left="0" right="0" top="0.5905511811023623" bottom="0.5905511811023623" header="0.31496062992125984" footer="0.31496062992125984"/>
  <pageSetup horizontalDpi="300" verticalDpi="300" orientation="landscape" paperSize="9" r:id="rId1"/>
  <ignoredErrors>
    <ignoredError sqref="D5:D10 D12:D17 F5:F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0">
      <selection activeCell="B12" sqref="B12"/>
    </sheetView>
  </sheetViews>
  <sheetFormatPr defaultColWidth="9.140625" defaultRowHeight="12.75"/>
  <cols>
    <col min="1" max="1" width="52.28125" style="46" customWidth="1"/>
    <col min="2" max="2" width="40.8515625" style="221" customWidth="1"/>
    <col min="3" max="3" width="40.57421875" style="221" customWidth="1"/>
    <col min="4" max="4" width="13.140625" style="221" customWidth="1"/>
    <col min="5" max="16384" width="9.140625" style="221" customWidth="1"/>
  </cols>
  <sheetData>
    <row r="1" spans="1:4" ht="19.5" customHeight="1">
      <c r="A1" s="529" t="s">
        <v>201</v>
      </c>
      <c r="B1" s="529"/>
      <c r="C1" s="529"/>
      <c r="D1" s="220"/>
    </row>
    <row r="2" spans="1:4" ht="31.5" customHeight="1">
      <c r="A2" s="530" t="s">
        <v>202</v>
      </c>
      <c r="B2" s="297" t="s">
        <v>203</v>
      </c>
      <c r="C2" s="297" t="s">
        <v>204</v>
      </c>
      <c r="D2" s="64"/>
    </row>
    <row r="3" spans="1:4" ht="24" customHeight="1">
      <c r="A3" s="530"/>
      <c r="B3" s="222" t="s">
        <v>205</v>
      </c>
      <c r="C3" s="222" t="s">
        <v>206</v>
      </c>
      <c r="D3" s="223"/>
    </row>
    <row r="4" spans="1:4" ht="30" customHeight="1">
      <c r="A4" s="298" t="s">
        <v>40</v>
      </c>
      <c r="B4" s="299">
        <f>Меню!D8</f>
        <v>565</v>
      </c>
      <c r="C4" s="299">
        <f>Меню!D40</f>
        <v>975</v>
      </c>
      <c r="D4" s="224"/>
    </row>
    <row r="5" spans="1:4" ht="30" customHeight="1">
      <c r="A5" s="298" t="s">
        <v>41</v>
      </c>
      <c r="B5" s="299">
        <f>Меню!D105</f>
        <v>630</v>
      </c>
      <c r="C5" s="299">
        <f>Меню!D138</f>
        <v>820</v>
      </c>
      <c r="D5" s="224"/>
    </row>
    <row r="6" spans="1:4" ht="30" customHeight="1">
      <c r="A6" s="298" t="s">
        <v>42</v>
      </c>
      <c r="B6" s="299">
        <f>Меню!D205</f>
        <v>542</v>
      </c>
      <c r="C6" s="299">
        <f>Меню!D237</f>
        <v>800</v>
      </c>
      <c r="D6" s="224"/>
    </row>
    <row r="7" spans="1:4" ht="30" customHeight="1">
      <c r="A7" s="298" t="s">
        <v>43</v>
      </c>
      <c r="B7" s="299">
        <f>Меню!D298</f>
        <v>595</v>
      </c>
      <c r="C7" s="299">
        <f>Меню!D364</f>
        <v>780</v>
      </c>
      <c r="D7" s="224"/>
    </row>
    <row r="8" spans="1:4" ht="30" customHeight="1">
      <c r="A8" s="298" t="s">
        <v>44</v>
      </c>
      <c r="B8" s="299">
        <f>Меню!D418</f>
        <v>510</v>
      </c>
      <c r="C8" s="299">
        <f>Меню!D437</f>
        <v>780</v>
      </c>
      <c r="D8" s="224"/>
    </row>
    <row r="9" spans="1:4" ht="30" customHeight="1">
      <c r="A9" s="298" t="s">
        <v>45</v>
      </c>
      <c r="B9" s="299">
        <f>Меню!D507</f>
        <v>590</v>
      </c>
      <c r="C9" s="299">
        <f>Меню!D533</f>
        <v>775</v>
      </c>
      <c r="D9" s="224"/>
    </row>
    <row r="10" spans="1:4" ht="30" customHeight="1">
      <c r="A10" s="298" t="s">
        <v>46</v>
      </c>
      <c r="B10" s="299">
        <f>Меню!D591</f>
        <v>682</v>
      </c>
      <c r="C10" s="299">
        <f>Меню!D646</f>
        <v>765</v>
      </c>
      <c r="D10" s="224"/>
    </row>
    <row r="11" spans="1:4" ht="30" customHeight="1">
      <c r="A11" s="298" t="s">
        <v>47</v>
      </c>
      <c r="B11" s="299">
        <f>Меню!D732</f>
        <v>600</v>
      </c>
      <c r="C11" s="299">
        <f>Меню!D759</f>
        <v>795</v>
      </c>
      <c r="D11" s="224"/>
    </row>
    <row r="12" spans="1:4" ht="30" customHeight="1">
      <c r="A12" s="298" t="s">
        <v>48</v>
      </c>
      <c r="B12" s="299">
        <f>Меню!D821</f>
        <v>550</v>
      </c>
      <c r="C12" s="299">
        <f>Меню!D849</f>
        <v>775</v>
      </c>
      <c r="D12" s="224"/>
    </row>
    <row r="13" spans="1:4" ht="30" customHeight="1">
      <c r="A13" s="298" t="s">
        <v>49</v>
      </c>
      <c r="B13" s="299">
        <f>Меню!D934</f>
        <v>522</v>
      </c>
      <c r="C13" s="299">
        <f>Меню!D951</f>
        <v>770</v>
      </c>
      <c r="D13" s="224"/>
    </row>
    <row r="14" spans="1:4" ht="30" customHeight="1">
      <c r="A14" s="298" t="s">
        <v>107</v>
      </c>
      <c r="B14" s="299">
        <f>Меню!D1012</f>
        <v>650</v>
      </c>
      <c r="C14" s="299">
        <f>Меню!D1057</f>
        <v>770</v>
      </c>
      <c r="D14" s="224"/>
    </row>
    <row r="15" spans="1:4" ht="30" customHeight="1">
      <c r="A15" s="298" t="s">
        <v>108</v>
      </c>
      <c r="B15" s="299">
        <f>Меню!D1124</f>
        <v>585</v>
      </c>
      <c r="C15" s="299">
        <f>Меню!D1145</f>
        <v>770</v>
      </c>
      <c r="D15" s="224"/>
    </row>
  </sheetData>
  <sheetProtection password="CF52" sheet="1"/>
  <mergeCells count="2">
    <mergeCell ref="A1:C1"/>
    <mergeCell ref="A2:A3"/>
  </mergeCells>
  <conditionalFormatting sqref="B4:B15">
    <cfRule type="cellIs" priority="2" dxfId="0" operator="lessThan" stopIfTrue="1">
      <formula>500</formula>
    </cfRule>
  </conditionalFormatting>
  <conditionalFormatting sqref="C4:C15">
    <cfRule type="cellIs" priority="1" dxfId="0" operator="lessThan" stopIfTrue="1">
      <formula>700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K26" sqref="K26"/>
    </sheetView>
  </sheetViews>
  <sheetFormatPr defaultColWidth="9.140625" defaultRowHeight="12.75"/>
  <cols>
    <col min="7" max="7" width="10.00390625" style="0" customWidth="1"/>
    <col min="8" max="8" width="13.421875" style="0" customWidth="1"/>
  </cols>
  <sheetData>
    <row r="1" spans="1:8" ht="12.75">
      <c r="A1" s="531" t="s">
        <v>197</v>
      </c>
      <c r="B1" s="531"/>
      <c r="C1" s="531"/>
      <c r="D1" s="531"/>
      <c r="E1" s="531"/>
      <c r="F1" s="531"/>
      <c r="G1" s="531"/>
      <c r="H1" s="531"/>
    </row>
    <row r="3" spans="1:8" ht="52.5" customHeight="1">
      <c r="A3" s="532" t="s">
        <v>196</v>
      </c>
      <c r="B3" s="533"/>
      <c r="C3" s="533"/>
      <c r="D3" s="533"/>
      <c r="E3" s="383">
        <f>Меню!E585</f>
        <v>45.02033333333333</v>
      </c>
      <c r="F3" s="383">
        <f>Меню!F585</f>
        <v>45.270833333333336</v>
      </c>
      <c r="G3" s="96">
        <f>Меню!G585</f>
        <v>181.75944444444448</v>
      </c>
      <c r="H3" s="96">
        <f>Меню!H585</f>
        <v>1314.1788333333332</v>
      </c>
    </row>
    <row r="4" spans="1:8" ht="52.5" customHeight="1">
      <c r="A4" s="532" t="s">
        <v>192</v>
      </c>
      <c r="B4" s="533"/>
      <c r="C4" s="533"/>
      <c r="D4" s="533"/>
      <c r="E4" s="96" t="s">
        <v>193</v>
      </c>
      <c r="F4" s="96" t="s">
        <v>194</v>
      </c>
      <c r="G4" s="96" t="s">
        <v>195</v>
      </c>
      <c r="H4" s="96" t="s">
        <v>164</v>
      </c>
    </row>
    <row r="6" spans="1:8" ht="12.75">
      <c r="A6" s="531" t="s">
        <v>198</v>
      </c>
      <c r="B6" s="531"/>
      <c r="C6" s="531"/>
      <c r="D6" s="531"/>
      <c r="E6" s="531"/>
      <c r="F6" s="531"/>
      <c r="G6" s="531"/>
      <c r="H6" s="531"/>
    </row>
    <row r="8" spans="1:8" ht="52.5" customHeight="1">
      <c r="A8" s="532" t="s">
        <v>196</v>
      </c>
      <c r="B8" s="533"/>
      <c r="C8" s="533"/>
      <c r="D8" s="533"/>
      <c r="E8" s="96">
        <f>Меню!E1207</f>
        <v>45.15833333333333</v>
      </c>
      <c r="F8" s="96">
        <f>Меню!F1207</f>
        <v>46.77083333333332</v>
      </c>
      <c r="G8" s="96">
        <f>Меню!G1207</f>
        <v>184.1361111111111</v>
      </c>
      <c r="H8" s="96">
        <f>Меню!H1207</f>
        <v>1337.9708333333333</v>
      </c>
    </row>
    <row r="9" spans="1:8" ht="52.5" customHeight="1">
      <c r="A9" s="532" t="s">
        <v>192</v>
      </c>
      <c r="B9" s="533"/>
      <c r="C9" s="533"/>
      <c r="D9" s="533"/>
      <c r="E9" s="96" t="s">
        <v>193</v>
      </c>
      <c r="F9" s="96" t="s">
        <v>194</v>
      </c>
      <c r="G9" s="96" t="s">
        <v>195</v>
      </c>
      <c r="H9" s="96" t="s">
        <v>164</v>
      </c>
    </row>
  </sheetData>
  <sheetProtection password="CF52" sheet="1"/>
  <mergeCells count="6">
    <mergeCell ref="A1:H1"/>
    <mergeCell ref="A6:H6"/>
    <mergeCell ref="A8:D8"/>
    <mergeCell ref="A9:D9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B1" sqref="A1:R40"/>
    </sheetView>
  </sheetViews>
  <sheetFormatPr defaultColWidth="9.140625" defaultRowHeight="12.75" outlineLevelCol="1"/>
  <cols>
    <col min="1" max="1" width="2.8515625" style="121" customWidth="1"/>
    <col min="2" max="2" width="31.00390625" style="226" customWidth="1"/>
    <col min="3" max="3" width="10.8515625" style="121" hidden="1" customWidth="1"/>
    <col min="4" max="4" width="0.13671875" style="121" hidden="1" customWidth="1"/>
    <col min="5" max="5" width="20.7109375" style="121" customWidth="1" collapsed="1"/>
    <col min="6" max="6" width="5.57421875" style="121" hidden="1" customWidth="1" outlineLevel="1"/>
    <col min="7" max="7" width="5.28125" style="121" hidden="1" customWidth="1" outlineLevel="1"/>
    <col min="8" max="8" width="3.421875" style="121" hidden="1" customWidth="1" outlineLevel="1"/>
    <col min="9" max="9" width="4.140625" style="121" hidden="1" customWidth="1" outlineLevel="1"/>
    <col min="10" max="10" width="3.7109375" style="121" hidden="1" customWidth="1" outlineLevel="1"/>
    <col min="11" max="11" width="5.28125" style="121" hidden="1" customWidth="1" outlineLevel="1"/>
    <col min="12" max="12" width="5.140625" style="121" hidden="1" customWidth="1" outlineLevel="1"/>
    <col min="13" max="13" width="4.7109375" style="121" hidden="1" customWidth="1" outlineLevel="1"/>
    <col min="14" max="14" width="6.140625" style="121" hidden="1" customWidth="1" outlineLevel="1"/>
    <col min="15" max="15" width="9.28125" style="121" hidden="1" customWidth="1" outlineLevel="1"/>
    <col min="16" max="16" width="13.421875" style="121" hidden="1" customWidth="1" collapsed="1"/>
    <col min="17" max="17" width="20.421875" style="121" customWidth="1"/>
    <col min="18" max="18" width="16.140625" style="121" customWidth="1"/>
    <col min="19" max="16384" width="9.140625" style="46" customWidth="1"/>
  </cols>
  <sheetData>
    <row r="1" spans="16:17" ht="15">
      <c r="P1" s="121" t="s">
        <v>103</v>
      </c>
      <c r="Q1" s="131" t="s">
        <v>106</v>
      </c>
    </row>
    <row r="2" spans="16:18" ht="12.75">
      <c r="P2" s="128"/>
      <c r="Q2" s="128"/>
      <c r="R2" s="128"/>
    </row>
    <row r="3" spans="16:18" ht="12.75">
      <c r="P3" s="129"/>
      <c r="Q3" s="129"/>
      <c r="R3" s="129"/>
    </row>
    <row r="4" spans="16:18" ht="12.75">
      <c r="P4" s="128"/>
      <c r="Q4" s="128"/>
      <c r="R4" s="128"/>
    </row>
    <row r="5" spans="16:18" ht="12.75">
      <c r="P5" s="128"/>
      <c r="Q5" s="128"/>
      <c r="R5" s="128"/>
    </row>
    <row r="6" spans="1:18" s="98" customFormat="1" ht="36.75" customHeight="1">
      <c r="A6" s="537" t="s">
        <v>212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</row>
    <row r="7" spans="1:18" ht="15" customHeight="1">
      <c r="A7" s="538" t="s">
        <v>34</v>
      </c>
      <c r="B7" s="538" t="s">
        <v>104</v>
      </c>
      <c r="C7" s="538" t="s">
        <v>90</v>
      </c>
      <c r="D7" s="132"/>
      <c r="E7" s="538" t="s">
        <v>162</v>
      </c>
      <c r="F7" s="534" t="s">
        <v>51</v>
      </c>
      <c r="G7" s="535"/>
      <c r="H7" s="535"/>
      <c r="I7" s="535"/>
      <c r="J7" s="535"/>
      <c r="K7" s="535"/>
      <c r="L7" s="535"/>
      <c r="M7" s="535"/>
      <c r="N7" s="535"/>
      <c r="O7" s="535"/>
      <c r="P7" s="538" t="s">
        <v>105</v>
      </c>
      <c r="Q7" s="539" t="s">
        <v>163</v>
      </c>
      <c r="R7" s="538" t="s">
        <v>35</v>
      </c>
    </row>
    <row r="8" spans="1:18" ht="20.25" customHeight="1">
      <c r="A8" s="538"/>
      <c r="B8" s="538"/>
      <c r="C8" s="538"/>
      <c r="D8" s="133" t="s">
        <v>94</v>
      </c>
      <c r="E8" s="538"/>
      <c r="F8" s="534" t="s">
        <v>36</v>
      </c>
      <c r="G8" s="535"/>
      <c r="H8" s="535"/>
      <c r="I8" s="535"/>
      <c r="J8" s="535"/>
      <c r="K8" s="535"/>
      <c r="L8" s="535"/>
      <c r="M8" s="535"/>
      <c r="N8" s="535"/>
      <c r="O8" s="535"/>
      <c r="P8" s="538"/>
      <c r="Q8" s="540"/>
      <c r="R8" s="538"/>
    </row>
    <row r="9" spans="1:18" ht="12.75" customHeight="1">
      <c r="A9" s="538"/>
      <c r="B9" s="538"/>
      <c r="C9" s="538"/>
      <c r="D9" s="134"/>
      <c r="E9" s="538"/>
      <c r="F9" s="135">
        <v>1</v>
      </c>
      <c r="G9" s="135">
        <v>2</v>
      </c>
      <c r="H9" s="135">
        <v>3</v>
      </c>
      <c r="I9" s="135">
        <v>4</v>
      </c>
      <c r="J9" s="135">
        <v>5</v>
      </c>
      <c r="K9" s="135">
        <v>6</v>
      </c>
      <c r="L9" s="135">
        <v>7</v>
      </c>
      <c r="M9" s="135">
        <v>8</v>
      </c>
      <c r="N9" s="135">
        <v>9</v>
      </c>
      <c r="O9" s="135">
        <v>10</v>
      </c>
      <c r="P9" s="538"/>
      <c r="Q9" s="541"/>
      <c r="R9" s="538"/>
    </row>
    <row r="10" spans="1:18" ht="15.75" customHeight="1">
      <c r="A10" s="79">
        <v>1</v>
      </c>
      <c r="B10" s="211" t="s">
        <v>26</v>
      </c>
      <c r="C10" s="78">
        <v>80</v>
      </c>
      <c r="D10" s="78">
        <v>50</v>
      </c>
      <c r="E10" s="136">
        <f>накопительная!E5</f>
        <v>53.6</v>
      </c>
      <c r="F10" s="80">
        <f>Меню!L1129</f>
        <v>60</v>
      </c>
      <c r="G10" s="80">
        <f>Меню!L1018</f>
        <v>40</v>
      </c>
      <c r="H10" s="80">
        <f>Меню!L941</f>
        <v>50</v>
      </c>
      <c r="I10" s="80">
        <f>Меню!L828</f>
        <v>70</v>
      </c>
      <c r="J10" s="80">
        <f>Меню!L737</f>
        <v>60</v>
      </c>
      <c r="K10" s="80">
        <f>Меню!L596</f>
        <v>60</v>
      </c>
      <c r="L10" s="80">
        <f>Меню!L512</f>
        <v>60</v>
      </c>
      <c r="M10" s="80">
        <f>Меню!L424</f>
        <v>50</v>
      </c>
      <c r="N10" s="80">
        <f>Меню!L301</f>
        <v>40</v>
      </c>
      <c r="O10" s="80">
        <f>Меню!L206</f>
        <v>40</v>
      </c>
      <c r="P10" s="80">
        <f aca="true" t="shared" si="0" ref="P10:P38">SUM(F10:O10)</f>
        <v>530</v>
      </c>
      <c r="Q10" s="130">
        <f>накопительная!S5</f>
        <v>53.333333333333336</v>
      </c>
      <c r="R10" s="81">
        <f>накопительная!T5</f>
        <v>99.50248756218906</v>
      </c>
    </row>
    <row r="11" spans="1:18" ht="15.75" customHeight="1">
      <c r="A11" s="79">
        <f>A10+1</f>
        <v>2</v>
      </c>
      <c r="B11" s="211" t="s">
        <v>131</v>
      </c>
      <c r="C11" s="80">
        <v>150</v>
      </c>
      <c r="D11" s="78">
        <v>50</v>
      </c>
      <c r="E11" s="136">
        <f>накопительная!E6</f>
        <v>72</v>
      </c>
      <c r="F11" s="80">
        <f>Меню!L1130</f>
        <v>80</v>
      </c>
      <c r="G11" s="80">
        <f>Меню!L1019</f>
        <v>40</v>
      </c>
      <c r="H11" s="80">
        <f>Меню!L942</f>
        <v>80</v>
      </c>
      <c r="I11" s="80">
        <f>Меню!L830</f>
        <v>70</v>
      </c>
      <c r="J11" s="80">
        <f>Меню!L738</f>
        <v>70</v>
      </c>
      <c r="K11" s="80">
        <f>Меню!L597</f>
        <v>88</v>
      </c>
      <c r="L11" s="80">
        <f>Меню!L513</f>
        <v>81</v>
      </c>
      <c r="M11" s="80">
        <f>Меню!L425</f>
        <v>95</v>
      </c>
      <c r="N11" s="80">
        <f>Меню!L302</f>
        <v>75</v>
      </c>
      <c r="O11" s="80">
        <f>Меню!L207</f>
        <v>75</v>
      </c>
      <c r="P11" s="80">
        <f t="shared" si="0"/>
        <v>754</v>
      </c>
      <c r="Q11" s="130">
        <f>накопительная!S6</f>
        <v>72</v>
      </c>
      <c r="R11" s="81">
        <f>накопительная!T6</f>
        <v>100</v>
      </c>
    </row>
    <row r="12" spans="1:18" ht="15.75" customHeight="1">
      <c r="A12" s="79">
        <f aca="true" t="shared" si="1" ref="A12:A39">A11+1</f>
        <v>3</v>
      </c>
      <c r="B12" s="211" t="s">
        <v>161</v>
      </c>
      <c r="C12" s="78">
        <v>15</v>
      </c>
      <c r="D12" s="120">
        <v>80</v>
      </c>
      <c r="E12" s="136">
        <f>накопительная!E7</f>
        <v>10.5</v>
      </c>
      <c r="F12" s="80">
        <f>Меню!L1131</f>
        <v>0</v>
      </c>
      <c r="G12" s="80">
        <f>Меню!L1020</f>
        <v>59</v>
      </c>
      <c r="H12" s="80">
        <f>Меню!L943</f>
        <v>14.5</v>
      </c>
      <c r="I12" s="80">
        <f>Меню!L831</f>
        <v>8</v>
      </c>
      <c r="J12" s="80">
        <f>Меню!L739</f>
        <v>2</v>
      </c>
      <c r="K12" s="80">
        <f>Меню!L598</f>
        <v>8.5</v>
      </c>
      <c r="L12" s="80">
        <f>Меню!L514</f>
        <v>0</v>
      </c>
      <c r="M12" s="80">
        <f>Меню!L426</f>
        <v>8.5</v>
      </c>
      <c r="N12" s="80">
        <f>Меню!L303</f>
        <v>6.5</v>
      </c>
      <c r="O12" s="80">
        <f>Меню!L208</f>
        <v>0</v>
      </c>
      <c r="P12" s="80">
        <f t="shared" si="0"/>
        <v>107</v>
      </c>
      <c r="Q12" s="130">
        <f>накопительная!S7</f>
        <v>10.541666666666666</v>
      </c>
      <c r="R12" s="81">
        <f>накопительная!T7</f>
        <v>100.39682539682538</v>
      </c>
    </row>
    <row r="13" spans="1:18" s="98" customFormat="1" ht="15.75" customHeight="1">
      <c r="A13" s="79">
        <f t="shared" si="1"/>
        <v>4</v>
      </c>
      <c r="B13" s="102" t="s">
        <v>67</v>
      </c>
      <c r="C13" s="82">
        <v>45</v>
      </c>
      <c r="D13" s="120">
        <v>55</v>
      </c>
      <c r="E13" s="136">
        <f>накопительная!E8</f>
        <v>35.325</v>
      </c>
      <c r="F13" s="80">
        <f>Меню!L1132</f>
        <v>0</v>
      </c>
      <c r="G13" s="80">
        <f>Меню!L1021</f>
        <v>64</v>
      </c>
      <c r="H13" s="80">
        <f>Меню!L944</f>
        <v>5</v>
      </c>
      <c r="I13" s="80">
        <f>Меню!L832</f>
        <v>76</v>
      </c>
      <c r="J13" s="80">
        <f>Меню!L740</f>
        <v>54</v>
      </c>
      <c r="K13" s="80">
        <f>Меню!L599</f>
        <v>0</v>
      </c>
      <c r="L13" s="80">
        <f>Меню!L515</f>
        <v>84</v>
      </c>
      <c r="M13" s="80">
        <f>Меню!L427</f>
        <v>16.666666666666668</v>
      </c>
      <c r="N13" s="80">
        <f>Меню!L304</f>
        <v>38</v>
      </c>
      <c r="O13" s="80">
        <f>Меню!L209</f>
        <v>8.5</v>
      </c>
      <c r="P13" s="80">
        <f t="shared" si="0"/>
        <v>346.1666666666667</v>
      </c>
      <c r="Q13" s="130">
        <f>накопительная!S8</f>
        <v>35.34722222222222</v>
      </c>
      <c r="R13" s="81">
        <f>накопительная!T8</f>
        <v>100.06290791853424</v>
      </c>
    </row>
    <row r="14" spans="1:18" s="98" customFormat="1" ht="15.75" customHeight="1">
      <c r="A14" s="79">
        <f t="shared" si="1"/>
        <v>5</v>
      </c>
      <c r="B14" s="102" t="s">
        <v>66</v>
      </c>
      <c r="C14" s="82">
        <v>15</v>
      </c>
      <c r="D14" s="120">
        <v>65</v>
      </c>
      <c r="E14" s="136">
        <f>накопительная!E9</f>
        <v>12.3</v>
      </c>
      <c r="F14" s="80">
        <f>Меню!L1133</f>
        <v>62</v>
      </c>
      <c r="G14" s="80">
        <f>Меню!L1022</f>
        <v>0</v>
      </c>
      <c r="H14" s="80">
        <f>Меню!L945</f>
        <v>0</v>
      </c>
      <c r="I14" s="80">
        <f>Меню!L833</f>
        <v>0</v>
      </c>
      <c r="J14" s="80">
        <f>Меню!L741</f>
        <v>0</v>
      </c>
      <c r="K14" s="80">
        <f>Меню!L600</f>
        <v>20</v>
      </c>
      <c r="L14" s="80" t="e">
        <f>Меню!#REF!</f>
        <v>#REF!</v>
      </c>
      <c r="M14" s="80">
        <f>Меню!L428</f>
        <v>65</v>
      </c>
      <c r="N14" s="80">
        <f>Меню!L305</f>
        <v>0</v>
      </c>
      <c r="O14" s="80">
        <f>Меню!L210</f>
        <v>0</v>
      </c>
      <c r="P14" s="80" t="e">
        <f t="shared" si="0"/>
        <v>#REF!</v>
      </c>
      <c r="Q14" s="130">
        <f>накопительная!S9</f>
        <v>12.25</v>
      </c>
      <c r="R14" s="81">
        <f>накопительная!T9</f>
        <v>99.59349593495935</v>
      </c>
    </row>
    <row r="15" spans="1:18" ht="15.75" customHeight="1">
      <c r="A15" s="79">
        <f t="shared" si="1"/>
        <v>6</v>
      </c>
      <c r="B15" s="211" t="s">
        <v>27</v>
      </c>
      <c r="C15" s="78">
        <v>188</v>
      </c>
      <c r="D15" s="78">
        <v>50</v>
      </c>
      <c r="E15" s="136">
        <f>накопительная!E10</f>
        <v>144.76</v>
      </c>
      <c r="F15" s="80">
        <f>Меню!L1134</f>
        <v>181</v>
      </c>
      <c r="G15" s="80">
        <f>Меню!L1023</f>
        <v>87</v>
      </c>
      <c r="H15" s="80">
        <f>Меню!L946</f>
        <v>203</v>
      </c>
      <c r="I15" s="80">
        <f>Меню!L834</f>
        <v>28</v>
      </c>
      <c r="J15" s="80">
        <f>Меню!L742</f>
        <v>100</v>
      </c>
      <c r="K15" s="80">
        <f>Меню!L601</f>
        <v>158</v>
      </c>
      <c r="L15" s="80">
        <f>Меню!L517</f>
        <v>43.333333333333336</v>
      </c>
      <c r="M15" s="80">
        <f>Меню!L429</f>
        <v>212</v>
      </c>
      <c r="N15" s="80">
        <f>Меню!L306</f>
        <v>166</v>
      </c>
      <c r="O15" s="80">
        <f>Меню!L211</f>
        <v>180</v>
      </c>
      <c r="P15" s="80">
        <f t="shared" si="0"/>
        <v>1358.3333333333335</v>
      </c>
      <c r="Q15" s="130">
        <f>накопительная!S10</f>
        <v>144.44444444444446</v>
      </c>
      <c r="R15" s="81">
        <f>накопительная!T10</f>
        <v>99.78201467563171</v>
      </c>
    </row>
    <row r="16" spans="1:18" ht="42.75" customHeight="1">
      <c r="A16" s="79">
        <f t="shared" si="1"/>
        <v>7</v>
      </c>
      <c r="B16" s="102" t="s">
        <v>176</v>
      </c>
      <c r="C16" s="78">
        <v>280</v>
      </c>
      <c r="D16" s="120">
        <v>55</v>
      </c>
      <c r="E16" s="136">
        <f>накопительная!E11</f>
        <v>176.4</v>
      </c>
      <c r="F16" s="80">
        <f>Меню!L1135</f>
        <v>133.7</v>
      </c>
      <c r="G16" s="80">
        <f>Меню!L1024</f>
        <v>92.2</v>
      </c>
      <c r="H16" s="80">
        <f>Меню!L947</f>
        <v>86.2</v>
      </c>
      <c r="I16" s="80">
        <f>Меню!L835</f>
        <v>462.2</v>
      </c>
      <c r="J16" s="80">
        <f>Меню!L743</f>
        <v>161.1</v>
      </c>
      <c r="K16" s="80">
        <f>Меню!L602</f>
        <v>272</v>
      </c>
      <c r="L16" s="80">
        <f>Меню!L518</f>
        <v>156.83333333333331</v>
      </c>
      <c r="M16" s="80">
        <f>Меню!L430</f>
        <v>141</v>
      </c>
      <c r="N16" s="80">
        <f>Меню!L307</f>
        <v>179.5</v>
      </c>
      <c r="O16" s="80">
        <f>Меню!L212</f>
        <v>178</v>
      </c>
      <c r="P16" s="80">
        <f t="shared" si="0"/>
        <v>1862.7333333333333</v>
      </c>
      <c r="Q16" s="130">
        <f>накопительная!S11</f>
        <v>176.94236111111113</v>
      </c>
      <c r="R16" s="81">
        <f>накопительная!T11</f>
        <v>100.30746094734191</v>
      </c>
    </row>
    <row r="17" spans="1:18" ht="15.75" customHeight="1">
      <c r="A17" s="79">
        <f t="shared" si="1"/>
        <v>8</v>
      </c>
      <c r="B17" s="211" t="s">
        <v>28</v>
      </c>
      <c r="C17" s="78">
        <v>185</v>
      </c>
      <c r="D17" s="120">
        <v>60</v>
      </c>
      <c r="E17" s="136">
        <f>накопительная!E12</f>
        <v>126.725</v>
      </c>
      <c r="F17" s="80">
        <f>Меню!L1136</f>
        <v>150</v>
      </c>
      <c r="G17" s="80">
        <f>Меню!L1025</f>
        <v>160</v>
      </c>
      <c r="H17" s="80">
        <f>Меню!L948</f>
        <v>31</v>
      </c>
      <c r="I17" s="80">
        <f>Меню!L836</f>
        <v>0</v>
      </c>
      <c r="J17" s="80">
        <f>Меню!L744</f>
        <v>185</v>
      </c>
      <c r="K17" s="80">
        <f>Меню!L603</f>
        <v>157</v>
      </c>
      <c r="L17" s="80">
        <f>Меню!L519</f>
        <v>150</v>
      </c>
      <c r="M17" s="80">
        <f>Меню!L431</f>
        <v>25</v>
      </c>
      <c r="N17" s="80">
        <f>Меню!L308</f>
        <v>170</v>
      </c>
      <c r="O17" s="80">
        <f>Меню!L213</f>
        <v>181</v>
      </c>
      <c r="P17" s="80">
        <f t="shared" si="0"/>
        <v>1209</v>
      </c>
      <c r="Q17" s="130">
        <f>накопительная!S12</f>
        <v>126.58333333333333</v>
      </c>
      <c r="R17" s="81">
        <f>накопительная!T12</f>
        <v>99.88820937726047</v>
      </c>
    </row>
    <row r="18" spans="1:18" ht="15.75" customHeight="1">
      <c r="A18" s="79">
        <f t="shared" si="1"/>
        <v>9</v>
      </c>
      <c r="B18" s="211" t="s">
        <v>177</v>
      </c>
      <c r="C18" s="78">
        <v>15</v>
      </c>
      <c r="D18" s="120">
        <v>55</v>
      </c>
      <c r="E18" s="136">
        <f>накопительная!E13</f>
        <v>6.225</v>
      </c>
      <c r="F18" s="80">
        <f>Меню!L1137</f>
        <v>0</v>
      </c>
      <c r="G18" s="80">
        <f>Меню!L1026</f>
        <v>0</v>
      </c>
      <c r="H18" s="80">
        <f>Меню!L949</f>
        <v>0</v>
      </c>
      <c r="I18" s="80">
        <f>Меню!L837</f>
        <v>25</v>
      </c>
      <c r="J18" s="80">
        <f>Меню!L745</f>
        <v>0</v>
      </c>
      <c r="K18" s="80">
        <f>Меню!L604</f>
        <v>0</v>
      </c>
      <c r="L18" s="80">
        <f>Меню!L520</f>
        <v>25</v>
      </c>
      <c r="M18" s="80">
        <f>Меню!L432</f>
        <v>0</v>
      </c>
      <c r="N18" s="80">
        <f>Меню!L309</f>
        <v>25</v>
      </c>
      <c r="O18" s="80">
        <f>Меню!L214</f>
        <v>0</v>
      </c>
      <c r="P18" s="80">
        <f t="shared" si="0"/>
        <v>75</v>
      </c>
      <c r="Q18" s="130">
        <f>накопительная!S13</f>
        <v>6.25</v>
      </c>
      <c r="R18" s="81">
        <f>накопительная!T13</f>
        <v>100.40160642570282</v>
      </c>
    </row>
    <row r="19" spans="1:18" ht="45.75" customHeight="1">
      <c r="A19" s="79">
        <f t="shared" si="1"/>
        <v>10</v>
      </c>
      <c r="B19" s="102" t="s">
        <v>178</v>
      </c>
      <c r="C19" s="78">
        <v>40</v>
      </c>
      <c r="D19" s="120">
        <v>55</v>
      </c>
      <c r="E19" s="136">
        <f>накопительная!E14</f>
        <v>23.1</v>
      </c>
      <c r="F19" s="80">
        <f>Меню!L1138</f>
        <v>15</v>
      </c>
      <c r="G19" s="80">
        <f>Меню!L1027</f>
        <v>18</v>
      </c>
      <c r="H19" s="80">
        <f>Меню!L950</f>
        <v>36</v>
      </c>
      <c r="I19" s="80">
        <f>Меню!L838</f>
        <v>28</v>
      </c>
      <c r="J19" s="80">
        <f>Меню!L746</f>
        <v>27</v>
      </c>
      <c r="K19" s="80">
        <f>Меню!L605</f>
        <v>15</v>
      </c>
      <c r="L19" s="80">
        <f>Меню!L521</f>
        <v>30.6</v>
      </c>
      <c r="M19" s="80">
        <f>Меню!L433</f>
        <v>27</v>
      </c>
      <c r="N19" s="80">
        <f>Меню!L310</f>
        <v>15</v>
      </c>
      <c r="O19" s="80">
        <f>Меню!L215</f>
        <v>37</v>
      </c>
      <c r="P19" s="80">
        <f t="shared" si="0"/>
        <v>248.6</v>
      </c>
      <c r="Q19" s="130">
        <f>накопительная!S14</f>
        <v>23.05</v>
      </c>
      <c r="R19" s="81">
        <f>накопительная!T14</f>
        <v>99.78354978354977</v>
      </c>
    </row>
    <row r="20" spans="1:18" ht="35.25" customHeight="1">
      <c r="A20" s="79">
        <f t="shared" si="1"/>
        <v>11</v>
      </c>
      <c r="B20" s="102" t="s">
        <v>338</v>
      </c>
      <c r="C20" s="78">
        <v>200</v>
      </c>
      <c r="D20" s="78">
        <v>50</v>
      </c>
      <c r="E20" s="136">
        <f>накопительная!E15</f>
        <v>100</v>
      </c>
      <c r="F20" s="80">
        <f>Меню!L1139</f>
        <v>200</v>
      </c>
      <c r="G20" s="80">
        <f>Меню!L1028</f>
        <v>200</v>
      </c>
      <c r="H20" s="80">
        <f>Меню!L951</f>
        <v>0</v>
      </c>
      <c r="I20" s="80">
        <f>Меню!L839</f>
        <v>0</v>
      </c>
      <c r="J20" s="80">
        <f>Меню!L747</f>
        <v>0</v>
      </c>
      <c r="K20" s="80">
        <f>Меню!L606</f>
        <v>200</v>
      </c>
      <c r="L20" s="80">
        <f>Меню!L522</f>
        <v>0</v>
      </c>
      <c r="M20" s="80">
        <f>Меню!L434</f>
        <v>0</v>
      </c>
      <c r="N20" s="80">
        <f>Меню!L311</f>
        <v>200</v>
      </c>
      <c r="O20" s="80">
        <f>Меню!L216</f>
        <v>0</v>
      </c>
      <c r="P20" s="80">
        <f t="shared" si="0"/>
        <v>800</v>
      </c>
      <c r="Q20" s="130">
        <f>накопительная!S15</f>
        <v>100</v>
      </c>
      <c r="R20" s="81">
        <f>накопительная!T15</f>
        <v>100</v>
      </c>
    </row>
    <row r="21" spans="1:18" ht="15.75" customHeight="1">
      <c r="A21" s="79">
        <f t="shared" si="1"/>
        <v>12</v>
      </c>
      <c r="B21" s="211" t="s">
        <v>29</v>
      </c>
      <c r="C21" s="78">
        <v>10</v>
      </c>
      <c r="D21" s="78">
        <v>50</v>
      </c>
      <c r="E21" s="136">
        <f>накопительная!E16</f>
        <v>6.7</v>
      </c>
      <c r="F21" s="80">
        <f>Меню!L1140</f>
        <v>0</v>
      </c>
      <c r="G21" s="80">
        <f>Меню!L1029</f>
        <v>0</v>
      </c>
      <c r="H21" s="80">
        <f>Меню!L952</f>
        <v>20</v>
      </c>
      <c r="I21" s="80">
        <f>Меню!L840</f>
        <v>20</v>
      </c>
      <c r="J21" s="80">
        <f>Меню!L748</f>
        <v>20</v>
      </c>
      <c r="K21" s="80">
        <f>Меню!L607</f>
        <v>0</v>
      </c>
      <c r="L21" s="80">
        <f>Меню!L523</f>
        <v>0</v>
      </c>
      <c r="M21" s="80">
        <f>Меню!L435</f>
        <v>0</v>
      </c>
      <c r="N21" s="80">
        <f>Меню!L312</f>
        <v>0</v>
      </c>
      <c r="O21" s="80">
        <f>Меню!L217</f>
        <v>0</v>
      </c>
      <c r="P21" s="80">
        <f t="shared" si="0"/>
        <v>60</v>
      </c>
      <c r="Q21" s="130">
        <f>накопительная!S16</f>
        <v>6.666666666666667</v>
      </c>
      <c r="R21" s="81">
        <f>накопительная!T16</f>
        <v>99.50248756218906</v>
      </c>
    </row>
    <row r="22" spans="1:18" ht="15.75" customHeight="1">
      <c r="A22" s="79">
        <f t="shared" si="1"/>
        <v>13</v>
      </c>
      <c r="B22" s="211" t="s">
        <v>71</v>
      </c>
      <c r="C22" s="78">
        <v>1</v>
      </c>
      <c r="D22" s="78">
        <v>50</v>
      </c>
      <c r="E22" s="136">
        <f>накопительная!E17</f>
        <v>0.0376</v>
      </c>
      <c r="F22" s="80">
        <f>Меню!L1141</f>
        <v>0</v>
      </c>
      <c r="G22" s="80">
        <f>Меню!L1030</f>
        <v>0.45</v>
      </c>
      <c r="H22" s="80">
        <f>Меню!L953</f>
        <v>0</v>
      </c>
      <c r="I22" s="80">
        <f>Меню!L841</f>
        <v>0</v>
      </c>
      <c r="J22" s="80">
        <f>Меню!L749</f>
        <v>0</v>
      </c>
      <c r="K22" s="80">
        <f>Меню!L608</f>
        <v>0</v>
      </c>
      <c r="L22" s="80">
        <f>Меню!L524</f>
        <v>0</v>
      </c>
      <c r="M22" s="80">
        <f>Меню!L436</f>
        <v>0</v>
      </c>
      <c r="N22" s="80">
        <f>Меню!L313</f>
        <v>0</v>
      </c>
      <c r="O22" s="80">
        <f>Меню!L218</f>
        <v>0</v>
      </c>
      <c r="P22" s="80">
        <f t="shared" si="0"/>
        <v>0.45</v>
      </c>
      <c r="Q22" s="130">
        <f>накопительная!S17</f>
        <v>0.0375</v>
      </c>
      <c r="R22" s="81">
        <f>накопительная!T17</f>
        <v>99.73404255319149</v>
      </c>
    </row>
    <row r="23" spans="1:18" ht="15.75" customHeight="1">
      <c r="A23" s="79">
        <f t="shared" si="1"/>
        <v>14</v>
      </c>
      <c r="B23" s="211" t="s">
        <v>189</v>
      </c>
      <c r="C23" s="78">
        <v>1.2</v>
      </c>
      <c r="D23" s="78">
        <v>50</v>
      </c>
      <c r="E23" s="136">
        <f>накопительная!E18</f>
        <v>0.83</v>
      </c>
      <c r="F23" s="80">
        <f>Меню!L1142</f>
        <v>5</v>
      </c>
      <c r="G23" s="80">
        <f>Меню!L1031</f>
        <v>0</v>
      </c>
      <c r="H23" s="80">
        <f>Меню!L954</f>
        <v>0</v>
      </c>
      <c r="I23" s="80">
        <f>Меню!L842</f>
        <v>0</v>
      </c>
      <c r="J23" s="80">
        <f>Меню!L750</f>
        <v>0</v>
      </c>
      <c r="K23" s="80">
        <f>Меню!L609</f>
        <v>0</v>
      </c>
      <c r="L23" s="80">
        <f>Меню!L525</f>
        <v>5</v>
      </c>
      <c r="M23" s="80">
        <f>Меню!L437</f>
        <v>0</v>
      </c>
      <c r="N23" s="80">
        <f>Меню!L314</f>
        <v>0</v>
      </c>
      <c r="O23" s="80">
        <f>Меню!L219</f>
        <v>0</v>
      </c>
      <c r="P23" s="80">
        <f t="shared" si="0"/>
        <v>10</v>
      </c>
      <c r="Q23" s="130">
        <f>накопительная!S18</f>
        <v>0.8333333333333334</v>
      </c>
      <c r="R23" s="81">
        <f>накопительная!T18</f>
        <v>100.40160642570282</v>
      </c>
    </row>
    <row r="24" spans="1:18" ht="15.75" customHeight="1">
      <c r="A24" s="79">
        <f t="shared" si="1"/>
        <v>15</v>
      </c>
      <c r="B24" s="211" t="s">
        <v>190</v>
      </c>
      <c r="C24" s="78"/>
      <c r="D24" s="78"/>
      <c r="E24" s="136">
        <f>накопительная!E19</f>
        <v>0.67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130">
        <f>накопительная!S19</f>
        <v>0.6666666666666666</v>
      </c>
      <c r="R24" s="81">
        <f>накопительная!T19</f>
        <v>99.50248756218903</v>
      </c>
    </row>
    <row r="25" spans="1:18" ht="15.75" customHeight="1">
      <c r="A25" s="79">
        <f t="shared" si="1"/>
        <v>16</v>
      </c>
      <c r="B25" s="227" t="s">
        <v>30</v>
      </c>
      <c r="C25" s="100">
        <v>0.4</v>
      </c>
      <c r="D25" s="78">
        <v>50</v>
      </c>
      <c r="E25" s="136">
        <f>накопительная!E20</f>
        <v>0.585</v>
      </c>
      <c r="F25" s="100">
        <f>Меню!L1144</f>
        <v>0</v>
      </c>
      <c r="G25" s="100">
        <f>Меню!L1033</f>
        <v>1</v>
      </c>
      <c r="H25" s="100">
        <f>Меню!L956</f>
        <v>1</v>
      </c>
      <c r="I25" s="100">
        <f>Меню!L844</f>
        <v>0</v>
      </c>
      <c r="J25" s="100">
        <f>Меню!L752</f>
        <v>1</v>
      </c>
      <c r="K25" s="100">
        <f>Меню!L611</f>
        <v>1</v>
      </c>
      <c r="L25" s="100">
        <f>Меню!L527</f>
        <v>0</v>
      </c>
      <c r="M25" s="100">
        <f>Меню!L439</f>
        <v>1</v>
      </c>
      <c r="N25" s="100">
        <f>Меню!L316</f>
        <v>0</v>
      </c>
      <c r="O25" s="100">
        <f>Меню!L221</f>
        <v>1</v>
      </c>
      <c r="P25" s="80">
        <f t="shared" si="0"/>
        <v>6</v>
      </c>
      <c r="Q25" s="130">
        <f>накопительная!S20</f>
        <v>0.5833333333333334</v>
      </c>
      <c r="R25" s="81">
        <f>накопительная!T20</f>
        <v>99.71509971509973</v>
      </c>
    </row>
    <row r="26" spans="1:18" ht="15.75" customHeight="1">
      <c r="A26" s="79">
        <f t="shared" si="1"/>
        <v>17</v>
      </c>
      <c r="B26" s="211" t="s">
        <v>179</v>
      </c>
      <c r="C26" s="78">
        <v>70</v>
      </c>
      <c r="D26" s="120">
        <v>60</v>
      </c>
      <c r="E26" s="136">
        <f>накопительная!E21</f>
        <v>51.45</v>
      </c>
      <c r="F26" s="80">
        <f>Меню!L1145</f>
        <v>96</v>
      </c>
      <c r="G26" s="80">
        <f>Меню!L1034</f>
        <v>0</v>
      </c>
      <c r="H26" s="80">
        <f>Меню!L957</f>
        <v>16</v>
      </c>
      <c r="I26" s="80">
        <f>Меню!L845</f>
        <v>95</v>
      </c>
      <c r="J26" s="80">
        <f>Меню!L753</f>
        <v>0</v>
      </c>
      <c r="K26" s="80">
        <f>Меню!L612</f>
        <v>99</v>
      </c>
      <c r="L26" s="80">
        <f>Меню!L528</f>
        <v>84</v>
      </c>
      <c r="M26" s="80">
        <f>Меню!L440</f>
        <v>95</v>
      </c>
      <c r="N26" s="80">
        <f>Меню!L317</f>
        <v>100</v>
      </c>
      <c r="O26" s="80">
        <f>Меню!L222</f>
        <v>0</v>
      </c>
      <c r="P26" s="80">
        <f t="shared" si="0"/>
        <v>585</v>
      </c>
      <c r="Q26" s="130">
        <f>накопительная!S21</f>
        <v>51.5</v>
      </c>
      <c r="R26" s="81">
        <f>накопительная!T21</f>
        <v>100.09718172983479</v>
      </c>
    </row>
    <row r="27" spans="1:18" ht="25.5" customHeight="1">
      <c r="A27" s="79">
        <f t="shared" si="1"/>
        <v>18</v>
      </c>
      <c r="B27" s="102" t="s">
        <v>181</v>
      </c>
      <c r="C27" s="78">
        <v>35</v>
      </c>
      <c r="D27" s="120">
        <v>51</v>
      </c>
      <c r="E27" s="136">
        <f>накопительная!E22</f>
        <v>28</v>
      </c>
      <c r="F27" s="80">
        <f>Меню!L1146</f>
        <v>0</v>
      </c>
      <c r="G27" s="80">
        <f>Меню!L1035</f>
        <v>26</v>
      </c>
      <c r="H27" s="80">
        <f>Меню!L958</f>
        <v>0</v>
      </c>
      <c r="I27" s="80">
        <f>Меню!L846</f>
        <v>60</v>
      </c>
      <c r="J27" s="80">
        <f>Меню!L754</f>
        <v>69</v>
      </c>
      <c r="K27" s="80">
        <f>Меню!L613</f>
        <v>46</v>
      </c>
      <c r="L27" s="80">
        <f>Меню!L529</f>
        <v>0</v>
      </c>
      <c r="M27" s="80">
        <f>Меню!L441</f>
        <v>72</v>
      </c>
      <c r="N27" s="80" t="str">
        <f>Меню!L318</f>
        <v>43</v>
      </c>
      <c r="O27" s="80">
        <f>Меню!L223</f>
        <v>62</v>
      </c>
      <c r="P27" s="80">
        <f t="shared" si="0"/>
        <v>335</v>
      </c>
      <c r="Q27" s="130">
        <f>накопительная!S22</f>
        <v>27.916666666666668</v>
      </c>
      <c r="R27" s="81">
        <f>накопительная!T22</f>
        <v>99.70238095238096</v>
      </c>
    </row>
    <row r="28" spans="1:18" ht="15.75" customHeight="1">
      <c r="A28" s="79">
        <f t="shared" si="1"/>
        <v>19</v>
      </c>
      <c r="B28" s="211" t="s">
        <v>180</v>
      </c>
      <c r="C28" s="78">
        <v>14.7</v>
      </c>
      <c r="D28" s="120">
        <v>65</v>
      </c>
      <c r="E28" s="136">
        <f>накопительная!E23</f>
        <v>13.95</v>
      </c>
      <c r="F28" s="80">
        <f>Меню!L1147</f>
        <v>0</v>
      </c>
      <c r="G28" s="80">
        <f>Меню!L1036</f>
        <v>93</v>
      </c>
      <c r="H28" s="80">
        <f>Меню!L959</f>
        <v>0</v>
      </c>
      <c r="I28" s="80">
        <f>Меню!L847</f>
        <v>0</v>
      </c>
      <c r="J28" s="80">
        <f>Меню!L755</f>
        <v>0</v>
      </c>
      <c r="K28" s="80">
        <f>Меню!L614</f>
        <v>0</v>
      </c>
      <c r="L28" s="80">
        <f>Меню!L530</f>
        <v>0</v>
      </c>
      <c r="M28" s="80">
        <f>Меню!L442</f>
        <v>0</v>
      </c>
      <c r="N28" s="80">
        <f>Меню!L319</f>
        <v>0</v>
      </c>
      <c r="O28" s="80">
        <f>Меню!L224</f>
        <v>0</v>
      </c>
      <c r="P28" s="80">
        <f t="shared" si="0"/>
        <v>93</v>
      </c>
      <c r="Q28" s="130">
        <f>накопительная!S23</f>
        <v>14</v>
      </c>
      <c r="R28" s="81">
        <f>накопительная!T23</f>
        <v>100.3584229390681</v>
      </c>
    </row>
    <row r="29" spans="1:18" ht="15.75" customHeight="1">
      <c r="A29" s="79">
        <f t="shared" si="1"/>
        <v>20</v>
      </c>
      <c r="B29" s="102" t="s">
        <v>182</v>
      </c>
      <c r="C29" s="78">
        <v>58</v>
      </c>
      <c r="D29" s="78">
        <v>50</v>
      </c>
      <c r="E29" s="136">
        <f>накопительная!E24</f>
        <v>39.44</v>
      </c>
      <c r="F29" s="80">
        <f>Меню!L1148</f>
        <v>0</v>
      </c>
      <c r="G29" s="80">
        <f>Меню!L1037</f>
        <v>0</v>
      </c>
      <c r="H29" s="80">
        <f>Меню!L960</f>
        <v>102</v>
      </c>
      <c r="I29" s="80">
        <f>Меню!L848</f>
        <v>20</v>
      </c>
      <c r="J29" s="80">
        <f>Меню!L756</f>
        <v>68</v>
      </c>
      <c r="K29" s="80">
        <f>Меню!L615</f>
        <v>0</v>
      </c>
      <c r="L29" s="80">
        <f>Меню!L531</f>
        <v>0</v>
      </c>
      <c r="M29" s="80">
        <f>Меню!L443</f>
        <v>0</v>
      </c>
      <c r="N29" s="80">
        <f>Меню!L320</f>
        <v>0</v>
      </c>
      <c r="O29" s="80">
        <f>Меню!L225</f>
        <v>58</v>
      </c>
      <c r="P29" s="80">
        <f t="shared" si="0"/>
        <v>248</v>
      </c>
      <c r="Q29" s="130">
        <f>накопительная!S24</f>
        <v>39.333333333333336</v>
      </c>
      <c r="R29" s="81">
        <f>накопительная!T24</f>
        <v>99.72954699121028</v>
      </c>
    </row>
    <row r="30" spans="1:18" s="98" customFormat="1" ht="17.25" customHeight="1">
      <c r="A30" s="79">
        <f t="shared" si="1"/>
        <v>21</v>
      </c>
      <c r="B30" s="215" t="s">
        <v>82</v>
      </c>
      <c r="C30" s="78">
        <v>300</v>
      </c>
      <c r="D30" s="78">
        <v>50</v>
      </c>
      <c r="E30" s="136">
        <f>накопительная!E25</f>
        <v>84</v>
      </c>
      <c r="F30" s="80">
        <f>Меню!L1149</f>
        <v>130</v>
      </c>
      <c r="G30" s="80">
        <f>Меню!L1038</f>
        <v>175.6</v>
      </c>
      <c r="H30" s="80">
        <f>Меню!L961</f>
        <v>23</v>
      </c>
      <c r="I30" s="80">
        <f>Меню!L849</f>
        <v>68</v>
      </c>
      <c r="J30" s="80">
        <f>Меню!L757</f>
        <v>47</v>
      </c>
      <c r="K30" s="80">
        <f>Меню!L616</f>
        <v>52</v>
      </c>
      <c r="L30" s="80">
        <f>Меню!L532</f>
        <v>324</v>
      </c>
      <c r="M30" s="80">
        <f>Меню!L444</f>
        <v>14</v>
      </c>
      <c r="N30" s="80">
        <f>Меню!L321</f>
        <v>25</v>
      </c>
      <c r="O30" s="80">
        <f>Меню!L226</f>
        <v>30</v>
      </c>
      <c r="P30" s="80">
        <f t="shared" si="0"/>
        <v>888.6</v>
      </c>
      <c r="Q30" s="130">
        <f>накопительная!S25</f>
        <v>84.05</v>
      </c>
      <c r="R30" s="81">
        <f>накопительная!T25</f>
        <v>100.05952380952381</v>
      </c>
    </row>
    <row r="31" spans="1:18" ht="17.25" customHeight="1">
      <c r="A31" s="79">
        <f t="shared" si="1"/>
        <v>22</v>
      </c>
      <c r="B31" s="215" t="s">
        <v>183</v>
      </c>
      <c r="C31" s="78">
        <v>150</v>
      </c>
      <c r="D31" s="120">
        <v>65</v>
      </c>
      <c r="E31" s="136">
        <f>накопительная!E26</f>
        <v>20.85</v>
      </c>
      <c r="F31" s="80">
        <f>Меню!L1150</f>
        <v>0</v>
      </c>
      <c r="G31" s="80">
        <f>Меню!L1039</f>
        <v>0</v>
      </c>
      <c r="H31" s="80">
        <f>Меню!L962</f>
        <v>125</v>
      </c>
      <c r="I31" s="80">
        <f>Меню!L850</f>
        <v>0</v>
      </c>
      <c r="J31" s="80">
        <f>Меню!L758</f>
        <v>0</v>
      </c>
      <c r="K31" s="80">
        <f>Меню!L617</f>
        <v>0</v>
      </c>
      <c r="L31" s="80">
        <f>Меню!L533</f>
        <v>0</v>
      </c>
      <c r="M31" s="80">
        <f>Меню!L445</f>
        <v>0</v>
      </c>
      <c r="N31" s="80">
        <f>Меню!L322</f>
        <v>0</v>
      </c>
      <c r="O31" s="80">
        <f>Меню!L227</f>
        <v>0</v>
      </c>
      <c r="P31" s="80">
        <f t="shared" si="0"/>
        <v>125</v>
      </c>
      <c r="Q31" s="130">
        <f>накопительная!S26</f>
        <v>20.833333333333332</v>
      </c>
      <c r="R31" s="81">
        <f>накопительная!T26</f>
        <v>99.9200639488409</v>
      </c>
    </row>
    <row r="32" spans="1:18" ht="17.25" customHeight="1">
      <c r="A32" s="79">
        <f t="shared" si="1"/>
        <v>23</v>
      </c>
      <c r="B32" s="102" t="s">
        <v>184</v>
      </c>
      <c r="C32" s="78">
        <v>50</v>
      </c>
      <c r="D32" s="78">
        <v>65</v>
      </c>
      <c r="E32" s="136">
        <f>накопительная!E27</f>
        <v>20.75</v>
      </c>
      <c r="F32" s="80">
        <f>Меню!L1151</f>
        <v>0</v>
      </c>
      <c r="G32" s="80">
        <f>Меню!L1040</f>
        <v>0</v>
      </c>
      <c r="H32" s="80">
        <f>Меню!L963</f>
        <v>136</v>
      </c>
      <c r="I32" s="80">
        <f>Меню!L851</f>
        <v>0</v>
      </c>
      <c r="J32" s="80">
        <f>Меню!L759</f>
        <v>0</v>
      </c>
      <c r="K32" s="80">
        <f>Меню!L618</f>
        <v>0</v>
      </c>
      <c r="L32" s="80">
        <f>Меню!L534</f>
        <v>0</v>
      </c>
      <c r="M32" s="80">
        <f>Меню!L446</f>
        <v>0</v>
      </c>
      <c r="N32" s="80">
        <f>Меню!L323</f>
        <v>0</v>
      </c>
      <c r="O32" s="80">
        <f>Меню!L228</f>
        <v>113</v>
      </c>
      <c r="P32" s="80">
        <f t="shared" si="0"/>
        <v>249</v>
      </c>
      <c r="Q32" s="130">
        <f>накопительная!S27</f>
        <v>20.75</v>
      </c>
      <c r="R32" s="81">
        <f>накопительная!T27</f>
        <v>100</v>
      </c>
    </row>
    <row r="33" spans="1:18" s="98" customFormat="1" ht="17.25" customHeight="1">
      <c r="A33" s="79">
        <f t="shared" si="1"/>
        <v>24</v>
      </c>
      <c r="B33" s="211" t="s">
        <v>31</v>
      </c>
      <c r="C33" s="78">
        <v>10</v>
      </c>
      <c r="D33" s="78">
        <v>60</v>
      </c>
      <c r="E33" s="136">
        <f>накопительная!E28</f>
        <v>8.6</v>
      </c>
      <c r="F33" s="80">
        <f>Меню!L1152</f>
        <v>5</v>
      </c>
      <c r="G33" s="80">
        <f>Меню!L1041</f>
        <v>19</v>
      </c>
      <c r="H33" s="80">
        <f>Меню!L964</f>
        <v>13</v>
      </c>
      <c r="I33" s="80">
        <f>Меню!L852</f>
        <v>5</v>
      </c>
      <c r="J33" s="80">
        <f>Меню!L760</f>
        <v>0</v>
      </c>
      <c r="K33" s="80">
        <f>Меню!L619</f>
        <v>15</v>
      </c>
      <c r="L33" s="80">
        <f>Меню!L535</f>
        <v>5</v>
      </c>
      <c r="M33" s="80">
        <f>Меню!L447</f>
        <v>0</v>
      </c>
      <c r="N33" s="80">
        <f>Меню!L324</f>
        <v>15</v>
      </c>
      <c r="O33" s="80">
        <f>Меню!L229</f>
        <v>4</v>
      </c>
      <c r="P33" s="80">
        <f t="shared" si="0"/>
        <v>81</v>
      </c>
      <c r="Q33" s="130">
        <f>накопительная!S28</f>
        <v>8.625</v>
      </c>
      <c r="R33" s="81">
        <f>накопительная!T28</f>
        <v>100.29069767441861</v>
      </c>
    </row>
    <row r="34" spans="1:18" ht="15.75" customHeight="1">
      <c r="A34" s="79">
        <f t="shared" si="1"/>
        <v>25</v>
      </c>
      <c r="B34" s="211" t="s">
        <v>185</v>
      </c>
      <c r="C34" s="78">
        <v>9.8</v>
      </c>
      <c r="D34" s="120">
        <v>60</v>
      </c>
      <c r="E34" s="136">
        <f>накопительная!E29</f>
        <v>7.75</v>
      </c>
      <c r="F34" s="80">
        <f>Меню!L1153</f>
        <v>15</v>
      </c>
      <c r="G34" s="80">
        <f>Меню!L1042</f>
        <v>18</v>
      </c>
      <c r="H34" s="80">
        <f>Меню!L965</f>
        <v>0</v>
      </c>
      <c r="I34" s="80">
        <f>Меню!L853</f>
        <v>0</v>
      </c>
      <c r="J34" s="80">
        <f>Меню!L761</f>
        <v>0</v>
      </c>
      <c r="K34" s="80">
        <f>Меню!L620</f>
        <v>15</v>
      </c>
      <c r="L34" s="80">
        <f>Меню!L536</f>
        <v>15</v>
      </c>
      <c r="M34" s="80">
        <f>Меню!L448</f>
        <v>4</v>
      </c>
      <c r="N34" s="80">
        <f>Меню!L325</f>
        <v>6</v>
      </c>
      <c r="O34" s="80">
        <f>Меню!L230</f>
        <v>15</v>
      </c>
      <c r="P34" s="80">
        <f t="shared" si="0"/>
        <v>88</v>
      </c>
      <c r="Q34" s="130">
        <f>накопительная!S29</f>
        <v>7.75</v>
      </c>
      <c r="R34" s="81">
        <f>накопительная!T29</f>
        <v>100</v>
      </c>
    </row>
    <row r="35" spans="1:18" ht="15.75" customHeight="1">
      <c r="A35" s="79">
        <f t="shared" si="1"/>
        <v>26</v>
      </c>
      <c r="B35" s="211" t="s">
        <v>32</v>
      </c>
      <c r="C35" s="80">
        <v>30</v>
      </c>
      <c r="D35" s="78">
        <v>50</v>
      </c>
      <c r="E35" s="136">
        <f>накопительная!E30</f>
        <v>20.85</v>
      </c>
      <c r="F35" s="80">
        <f>Меню!L1154</f>
        <v>30</v>
      </c>
      <c r="G35" s="80">
        <f>Меню!L1043</f>
        <v>43</v>
      </c>
      <c r="H35" s="80">
        <f>Меню!L966</f>
        <v>27.5</v>
      </c>
      <c r="I35" s="80">
        <f>Меню!L854</f>
        <v>10</v>
      </c>
      <c r="J35" s="80">
        <f>Меню!L762</f>
        <v>14</v>
      </c>
      <c r="K35" s="80">
        <f>Меню!L621</f>
        <v>15</v>
      </c>
      <c r="L35" s="80">
        <f>Меню!L537</f>
        <v>24</v>
      </c>
      <c r="M35" s="80">
        <f>Меню!L449</f>
        <v>16</v>
      </c>
      <c r="N35" s="80">
        <f>Меню!L326</f>
        <v>28</v>
      </c>
      <c r="O35" s="80">
        <f>Меню!L231</f>
        <v>8</v>
      </c>
      <c r="P35" s="80">
        <f t="shared" si="0"/>
        <v>215.5</v>
      </c>
      <c r="Q35" s="130">
        <f>накопительная!S30</f>
        <v>20.791666666666668</v>
      </c>
      <c r="R35" s="81">
        <f>накопительная!T30</f>
        <v>99.72022382094325</v>
      </c>
    </row>
    <row r="36" spans="1:18" ht="15.75" customHeight="1">
      <c r="A36" s="79">
        <f t="shared" si="1"/>
        <v>27</v>
      </c>
      <c r="B36" s="211" t="s">
        <v>33</v>
      </c>
      <c r="C36" s="78">
        <v>15</v>
      </c>
      <c r="D36" s="78">
        <v>50</v>
      </c>
      <c r="E36" s="136">
        <f>накопительная!E31</f>
        <v>10.65</v>
      </c>
      <c r="F36" s="80">
        <f>Меню!L1155</f>
        <v>16</v>
      </c>
      <c r="G36" s="80">
        <f>Меню!L1044</f>
        <v>7.5</v>
      </c>
      <c r="H36" s="80">
        <f>Меню!L967</f>
        <v>7</v>
      </c>
      <c r="I36" s="80">
        <f>Меню!L855</f>
        <v>19</v>
      </c>
      <c r="J36" s="80">
        <f>Меню!L763</f>
        <v>10</v>
      </c>
      <c r="K36" s="80">
        <f>Меню!L622</f>
        <v>11</v>
      </c>
      <c r="L36" s="80">
        <f>Меню!L538</f>
        <v>2</v>
      </c>
      <c r="M36" s="80">
        <f>Меню!L450</f>
        <v>10.5</v>
      </c>
      <c r="N36" s="80">
        <f>Меню!L327</f>
        <v>8</v>
      </c>
      <c r="O36" s="80">
        <f>Меню!L232</f>
        <v>13</v>
      </c>
      <c r="P36" s="80">
        <f t="shared" si="0"/>
        <v>104</v>
      </c>
      <c r="Q36" s="130">
        <f>накопительная!S31</f>
        <v>10.666666666666666</v>
      </c>
      <c r="R36" s="81">
        <f>накопительная!T31</f>
        <v>100.15649452269169</v>
      </c>
    </row>
    <row r="37" spans="1:18" s="103" customFormat="1" ht="15.75" customHeight="1">
      <c r="A37" s="79">
        <f t="shared" si="1"/>
        <v>28</v>
      </c>
      <c r="B37" s="211" t="s">
        <v>186</v>
      </c>
      <c r="C37" s="78">
        <v>40</v>
      </c>
      <c r="D37" s="78">
        <v>50</v>
      </c>
      <c r="E37" s="136">
        <f>накопительная!E32</f>
        <v>32.8</v>
      </c>
      <c r="F37" s="80">
        <f>Меню!L1156</f>
        <v>41.2</v>
      </c>
      <c r="G37" s="80">
        <f>Меню!L1045</f>
        <v>22.5</v>
      </c>
      <c r="H37" s="80">
        <f>Меню!L968</f>
        <v>8</v>
      </c>
      <c r="I37" s="80">
        <f>Меню!L856</f>
        <v>6.5</v>
      </c>
      <c r="J37" s="80">
        <f>Меню!L764</f>
        <v>126.8</v>
      </c>
      <c r="K37" s="80">
        <f>Меню!L623</f>
        <v>11.5</v>
      </c>
      <c r="L37" s="80">
        <f>Меню!L539</f>
        <v>4.7</v>
      </c>
      <c r="M37" s="80">
        <f>Меню!L451</f>
        <v>4</v>
      </c>
      <c r="N37" s="80">
        <f>Меню!L328</f>
        <v>10.5</v>
      </c>
      <c r="O37" s="80">
        <f>Меню!L233</f>
        <v>4</v>
      </c>
      <c r="P37" s="80">
        <f t="shared" si="0"/>
        <v>239.7</v>
      </c>
      <c r="Q37" s="130">
        <f>накопительная!S32</f>
        <v>32.90833333333333</v>
      </c>
      <c r="R37" s="81">
        <f>накопительная!T32</f>
        <v>100.33028455284553</v>
      </c>
    </row>
    <row r="38" spans="1:18" ht="15.75" customHeight="1">
      <c r="A38" s="79">
        <f t="shared" si="1"/>
        <v>29</v>
      </c>
      <c r="B38" s="102" t="s">
        <v>188</v>
      </c>
      <c r="C38" s="78">
        <v>5</v>
      </c>
      <c r="D38" s="78">
        <v>50</v>
      </c>
      <c r="E38" s="136">
        <f>накопительная!E34</f>
        <v>1.5</v>
      </c>
      <c r="F38" s="100">
        <v>2.5</v>
      </c>
      <c r="G38" s="100">
        <v>2.5</v>
      </c>
      <c r="H38" s="100">
        <v>2.5</v>
      </c>
      <c r="I38" s="100">
        <v>2.5</v>
      </c>
      <c r="J38" s="100">
        <v>2.5</v>
      </c>
      <c r="K38" s="100">
        <v>2.5</v>
      </c>
      <c r="L38" s="100">
        <v>2.5</v>
      </c>
      <c r="M38" s="100">
        <v>2.5</v>
      </c>
      <c r="N38" s="100">
        <v>2.5</v>
      </c>
      <c r="O38" s="100">
        <v>2.5</v>
      </c>
      <c r="P38" s="80">
        <f t="shared" si="0"/>
        <v>25</v>
      </c>
      <c r="Q38" s="130">
        <f>накопительная!S34</f>
        <v>1.5</v>
      </c>
      <c r="R38" s="81">
        <f>накопительная!T34</f>
        <v>100</v>
      </c>
    </row>
    <row r="39" spans="1:18" ht="15.75" customHeight="1">
      <c r="A39" s="79">
        <f t="shared" si="1"/>
        <v>30</v>
      </c>
      <c r="B39" s="211" t="s">
        <v>187</v>
      </c>
      <c r="C39" s="225"/>
      <c r="D39" s="225"/>
      <c r="E39" s="136">
        <f>накопительная!E35</f>
        <v>1</v>
      </c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7"/>
      <c r="Q39" s="130">
        <f>накопительная!S35</f>
        <v>1</v>
      </c>
      <c r="R39" s="81">
        <f>накопительная!T35</f>
        <v>100</v>
      </c>
    </row>
    <row r="40" spans="1:18" ht="47.25" customHeight="1">
      <c r="A40" s="536" t="s">
        <v>209</v>
      </c>
      <c r="B40" s="536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6"/>
    </row>
  </sheetData>
  <sheetProtection password="CF52" sheet="1"/>
  <mergeCells count="11">
    <mergeCell ref="R7:R9"/>
    <mergeCell ref="F8:O8"/>
    <mergeCell ref="A40:R40"/>
    <mergeCell ref="A6:R6"/>
    <mergeCell ref="A7:A9"/>
    <mergeCell ref="B7:B9"/>
    <mergeCell ref="C7:C9"/>
    <mergeCell ref="E7:E9"/>
    <mergeCell ref="F7:O7"/>
    <mergeCell ref="P7:P9"/>
    <mergeCell ref="Q7:Q9"/>
  </mergeCells>
  <printOptions/>
  <pageMargins left="0.5905511811023623" right="0.5905511811023623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2" width="14.8515625" style="229" customWidth="1"/>
    <col min="3" max="12" width="14.8515625" style="304" customWidth="1"/>
    <col min="13" max="23" width="8.8515625" style="0" customWidth="1"/>
    <col min="24" max="16384" width="9.140625" style="61" customWidth="1"/>
  </cols>
  <sheetData>
    <row r="1" spans="1:23" ht="12.75">
      <c r="A1" s="542" t="str">
        <f>Меню!A3</f>
        <v>12-ти ДНЕВНОЕ МЕНЮ №2346 от 16.06.2022г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12.75">
      <c r="A2" s="285">
        <v>1</v>
      </c>
      <c r="B2" s="285">
        <v>2</v>
      </c>
      <c r="C2" s="285">
        <v>3</v>
      </c>
      <c r="D2" s="285">
        <v>4</v>
      </c>
      <c r="E2" s="285">
        <v>5</v>
      </c>
      <c r="F2" s="285">
        <v>6</v>
      </c>
      <c r="G2" s="285">
        <v>7</v>
      </c>
      <c r="H2" s="285">
        <v>8</v>
      </c>
      <c r="I2" s="285">
        <v>9</v>
      </c>
      <c r="J2" s="285">
        <v>10</v>
      </c>
      <c r="K2" s="285">
        <v>11</v>
      </c>
      <c r="L2" s="285">
        <v>12</v>
      </c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2.75">
      <c r="A3" s="544" t="s">
        <v>110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ht="30" customHeight="1">
      <c r="A4" s="303" t="str">
        <f>Меню!A12</f>
        <v>Омлет натуральный с маслом с подгарнировкой </v>
      </c>
      <c r="B4" s="303" t="str">
        <f>Меню!A106</f>
        <v>Рыба запеченная с сыром (Технико - технологическая карта № 1, разработана АУ ТО "Центр технологического контроля")</v>
      </c>
      <c r="C4" s="303" t="str">
        <f>Меню!A209</f>
        <v>Сырники из творога запечённые с молоком сгущенным  </v>
      </c>
      <c r="D4" s="303" t="str">
        <f>Меню!A299</f>
        <v>Куриные мячики с маслом (Технико - технологическая карта № 3, разработана АУ ТО "Центр технологического контроля")</v>
      </c>
      <c r="E4" s="303" t="str">
        <f>Меню!A419</f>
        <v>Гуляш </v>
      </c>
      <c r="F4" s="303" t="str">
        <f>Меню!A508</f>
        <v>Каша 5 злаков жидкая </v>
      </c>
      <c r="G4" s="303" t="str">
        <f>Меню!A595</f>
        <v>Фрикадельки из кур и говядины</v>
      </c>
      <c r="H4" s="303" t="str">
        <f>Меню!A736</f>
        <v>Омлет натуральный с маслом  с подгарнировкой </v>
      </c>
      <c r="I4" s="303" t="str">
        <f>Меню!A822</f>
        <v>Плов из говядины </v>
      </c>
      <c r="J4" s="303" t="str">
        <f>Меню!A938</f>
        <v>Суфле творожное со сладкой глазурью</v>
      </c>
      <c r="K4" s="303" t="str">
        <f>Меню!A1013</f>
        <v>Каша "Дружба" </v>
      </c>
      <c r="L4" s="303" t="str">
        <f>Меню!A1128</f>
        <v>Макаронные изделия отварные с сыром, с маслом</v>
      </c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ht="21" customHeight="1">
      <c r="A5" s="307"/>
      <c r="B5" s="307"/>
      <c r="C5" s="307" t="str">
        <f>Меню!A221</f>
        <v>Запеканка из творога со сгущённым молоком </v>
      </c>
      <c r="D5" s="307" t="str">
        <f>Меню!A317</f>
        <v>Биточки особые (из свинины мясной и филе индейки) с маслом</v>
      </c>
      <c r="E5" s="307"/>
      <c r="F5" s="307"/>
      <c r="G5" s="307" t="str">
        <f>Меню!A610</f>
        <v>Котлеты из мяса</v>
      </c>
      <c r="H5" s="171"/>
      <c r="I5" s="307"/>
      <c r="J5" s="307"/>
      <c r="K5" s="307" t="str">
        <f>Меню!A1025</f>
        <v>Каша "Янтарная" из пшена с яблоками  </v>
      </c>
      <c r="L5" s="307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ht="21" customHeight="1">
      <c r="A6" s="307"/>
      <c r="B6" s="307"/>
      <c r="C6" s="307"/>
      <c r="D6" s="307" t="str">
        <f>Меню!A334</f>
        <v>Котлеты из мяса с маслом </v>
      </c>
      <c r="E6" s="307"/>
      <c r="F6" s="307"/>
      <c r="G6" s="307"/>
      <c r="H6" s="171"/>
      <c r="I6" s="307"/>
      <c r="J6" s="307"/>
      <c r="K6" s="307"/>
      <c r="L6" s="307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41.25" customHeight="1">
      <c r="A7" s="303" t="str">
        <f>Меню!A22</f>
        <v>Овощи на подгарнировку</v>
      </c>
      <c r="B7" s="303" t="str">
        <f>Меню!A116</f>
        <v>Пюре картофельное </v>
      </c>
      <c r="C7" s="285"/>
      <c r="D7" s="303" t="str">
        <f>Меню!A348</f>
        <v>Картофель тушеный  </v>
      </c>
      <c r="E7" s="303" t="str">
        <f>Меню!A426</f>
        <v>Макаронные изделия отварные </v>
      </c>
      <c r="F7" s="285"/>
      <c r="G7" s="303" t="str">
        <f>Меню!A623</f>
        <v>Пюре картофельное с подгарнировкой (помидоры, огурцы) </v>
      </c>
      <c r="H7" s="303" t="str">
        <f>Меню!A746</f>
        <v>Овощи на подгарнировку</v>
      </c>
      <c r="I7" s="303"/>
      <c r="J7" s="303"/>
      <c r="K7" s="303"/>
      <c r="L7" s="303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ht="30" customHeight="1">
      <c r="A8" s="307" t="str">
        <f>Меню!A27</f>
        <v>Овощи свежемороженые припущенные </v>
      </c>
      <c r="B8" s="307"/>
      <c r="C8" s="308"/>
      <c r="D8" s="307"/>
      <c r="E8" s="307"/>
      <c r="F8" s="308"/>
      <c r="G8" s="307"/>
      <c r="H8" s="307" t="str">
        <f>Меню!A751</f>
        <v>Овощи свежемороженые припущенные </v>
      </c>
      <c r="I8" s="307" t="str">
        <f>Меню!A832</f>
        <v>Овощи свежие (огурцы) </v>
      </c>
      <c r="J8" s="307"/>
      <c r="K8" s="307"/>
      <c r="L8" s="307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3" ht="40.5" customHeight="1">
      <c r="A9" s="303" t="str">
        <f>Меню!A9</f>
        <v>Бутерброд с джемом или повидлом </v>
      </c>
      <c r="B9" s="303" t="str">
        <f>Меню!A127</f>
        <v>Овощи свежие или консервированные (помидоры) на подгарнировку</v>
      </c>
      <c r="C9" s="303" t="str">
        <f>Меню!A206</f>
        <v>Бутерброд с сыром </v>
      </c>
      <c r="D9" s="303"/>
      <c r="E9" s="303" t="str">
        <f>Меню!A429</f>
        <v>Овощи свежие или консервированные (помидоры) на подгарнировку</v>
      </c>
      <c r="F9" s="303" t="str">
        <f>Меню!A519</f>
        <v>Бутерброд горячий с сыром </v>
      </c>
      <c r="G9" s="303" t="str">
        <f>Меню!A592</f>
        <v>Бутерброд с сыром </v>
      </c>
      <c r="H9" s="303" t="str">
        <f>Меню!A733</f>
        <v>Бутерброд с джемом или повидлом </v>
      </c>
      <c r="I9" s="303" t="str">
        <f>Меню!A836</f>
        <v>Овощи консервированные без уксуса (огурцы)</v>
      </c>
      <c r="J9" s="303" t="str">
        <f>Меню!A935</f>
        <v>Бутерброд с маслом </v>
      </c>
      <c r="K9" s="303" t="str">
        <f>Меню!A1039</f>
        <v>Сырная палочка (Технико - технологическая карта №5, разработана АУ ТО "Центр технологического контроля")</v>
      </c>
      <c r="L9" s="303" t="str">
        <f>Меню!A1125</f>
        <v>Бутерброд с маслом </v>
      </c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ht="18.75" customHeight="1">
      <c r="A10" s="303" t="str">
        <f>Меню!A30</f>
        <v>Кофейный напиток </v>
      </c>
      <c r="B10" s="303" t="str">
        <f>Меню!A131</f>
        <v>Чай с сахаром </v>
      </c>
      <c r="C10" s="303" t="str">
        <f>Меню!A232</f>
        <v>Чай с лимоном </v>
      </c>
      <c r="D10" s="303" t="str">
        <f>Меню!A359</f>
        <v>Компот из сухофруктов </v>
      </c>
      <c r="E10" s="303" t="str">
        <f>Меню!A433</f>
        <v>Чай с сахаром </v>
      </c>
      <c r="F10" s="303" t="str">
        <f>Меню!A523</f>
        <v>Какао с молоком </v>
      </c>
      <c r="G10" s="303" t="str">
        <f>Меню!A640</f>
        <v>Чай с лимоном </v>
      </c>
      <c r="H10" s="303" t="str">
        <f>Меню!A754</f>
        <v>Чай с сахаром </v>
      </c>
      <c r="I10" s="303" t="str">
        <f>Меню!A838</f>
        <v>Кофейный напиток </v>
      </c>
      <c r="J10" s="303" t="str">
        <f>Меню!A946</f>
        <v>Чай с лимоном </v>
      </c>
      <c r="K10" s="303" t="str">
        <f>Меню!A1054</f>
        <v>Чай с сахаром </v>
      </c>
      <c r="L10" s="303" t="str">
        <f>Меню!A1135</f>
        <v>Какао с молоком 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ht="21" customHeight="1">
      <c r="A11" s="303" t="str">
        <f>Меню!A38</f>
        <v>Йогурт в ассортименте</v>
      </c>
      <c r="B11" s="303" t="str">
        <f>Меню!A134</f>
        <v>Фрукты в ассортименте</v>
      </c>
      <c r="C11" s="303" t="str">
        <f>Меню!A236</f>
        <v>Фрукты в ассортименте</v>
      </c>
      <c r="D11" s="303" t="str">
        <f>Меню!A358</f>
        <v>Фрукты в ассортименте</v>
      </c>
      <c r="E11" s="303"/>
      <c r="F11" s="303" t="str">
        <f>Меню!A532</f>
        <v>Фрукты в ассортименте</v>
      </c>
      <c r="G11" s="303" t="str">
        <f>Меню!A645</f>
        <v>Фрукты в ассортименте</v>
      </c>
      <c r="H11" s="303" t="str">
        <f>Меню!A758</f>
        <v>Фрукты в ассортименте</v>
      </c>
      <c r="I11" s="303"/>
      <c r="J11" s="303" t="str">
        <f>Меню!A950</f>
        <v>Йогурт в ассортименте</v>
      </c>
      <c r="K11" s="303" t="str">
        <f>Меню!A1053</f>
        <v>Фрукты в ассортименте</v>
      </c>
      <c r="L11" s="303" t="str">
        <f>Меню!A1143</f>
        <v>Фрукты в ассортименте</v>
      </c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ht="12.75">
      <c r="A12" s="543" t="s">
        <v>64</v>
      </c>
      <c r="B12" s="543"/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ht="33" customHeight="1">
      <c r="A13" s="303" t="str">
        <f>Меню!A41</f>
        <v>Винегрет овощной </v>
      </c>
      <c r="B13" s="303" t="str">
        <f>Меню!A139</f>
        <v>Салат картофельный с зеленым горошком</v>
      </c>
      <c r="C13" s="303" t="str">
        <f>Меню!A242</f>
        <v>Овощи консервированные без уксуса (огурцы)</v>
      </c>
      <c r="D13" s="303" t="str">
        <f>Меню!A365</f>
        <v>Салат "Пестрый" (Технико - технологическая карта №2, разработана АУ ТО "Центр технологического контроля")</v>
      </c>
      <c r="E13" s="303" t="str">
        <f>Меню!A438</f>
        <v>Салат из консервированного огурца с луком </v>
      </c>
      <c r="F13" s="303" t="str">
        <f>Меню!A534</f>
        <v>Овощи свежие (помидоры, огурцы) </v>
      </c>
      <c r="G13" s="303" t="str">
        <f>Меню!A647</f>
        <v>Салат из свеклы отварной с огурцами </v>
      </c>
      <c r="H13" s="303" t="str">
        <f>Меню!A760</f>
        <v>Салат из белокочанной капусты с огурцами свежими </v>
      </c>
      <c r="I13" s="303" t="str">
        <f>Меню!A850</f>
        <v>Салат "Несвижский" </v>
      </c>
      <c r="J13" s="303" t="str">
        <f>Меню!A952</f>
        <v>Салат из капусты белокочанной с морковью </v>
      </c>
      <c r="K13" s="303" t="str">
        <f>Меню!A1058</f>
        <v>Винегрет овощной с фасолью</v>
      </c>
      <c r="L13" s="303" t="str">
        <f>Меню!A1147</f>
        <v>Салат картофельный с кукурузой и морковью</v>
      </c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ht="30" customHeight="1">
      <c r="A14" s="307"/>
      <c r="B14" s="307"/>
      <c r="C14" s="307" t="str">
        <f>Меню!A238</f>
        <v>Овощи свежие (огурцы) </v>
      </c>
      <c r="D14" s="307"/>
      <c r="E14" s="307" t="str">
        <f>Меню!A444</f>
        <v>Салат из огурцов  </v>
      </c>
      <c r="F14" s="307"/>
      <c r="G14" s="307"/>
      <c r="H14" s="307"/>
      <c r="I14" s="307" t="str">
        <f>Меню!A863</f>
        <v>Салат из свежих помидоров </v>
      </c>
      <c r="J14" s="307" t="str">
        <f>Меню!A962</f>
        <v>Овощи свежие или консервированные (помидоры)</v>
      </c>
      <c r="K14" s="307" t="str">
        <f>Меню!A1071</f>
        <v>Салат "Полонынский"</v>
      </c>
      <c r="L14" s="307" t="str">
        <f>Меню!A1159</f>
        <v>Овощи свежие (помидоры, огурцы) </v>
      </c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ht="30" customHeight="1">
      <c r="A15" s="307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ht="50.25" customHeight="1">
      <c r="A16" s="303" t="str">
        <f>Меню!A57</f>
        <v>Суп крестьянский с крупой с мясом и сметаной  </v>
      </c>
      <c r="B16" s="303" t="str">
        <f>Меню!A151</f>
        <v>Борщ из свежей капусты с картофелем, со сметаной, с  мясными фрикадельками </v>
      </c>
      <c r="C16" s="303" t="str">
        <f>Меню!A243</f>
        <v>Уха рыбацкая</v>
      </c>
      <c r="D16" s="303" t="str">
        <f>Меню!A373</f>
        <v>Солянка из мяса со сметаной (Технико - технологическая карта №4, разработана АУ ТО "Центр технологического контроля")</v>
      </c>
      <c r="E16" s="303" t="str">
        <f>Меню!A448</f>
        <v>Суп гороховый с гренками и мясом </v>
      </c>
      <c r="F16" s="303" t="str">
        <f>Меню!A539</f>
        <v>Свекольник с мясными фрикадельками, со сметаной </v>
      </c>
      <c r="G16" s="303" t="str">
        <f>Меню!A652</f>
        <v>Суп-лапша домашняя, с курицей </v>
      </c>
      <c r="H16" s="303" t="str">
        <f>Меню!A771</f>
        <v>Суп картофельный с рыбными фрикадельками </v>
      </c>
      <c r="I16" s="303" t="str">
        <f>Меню!A867</f>
        <v>Борщ "Сибирский" с мясом со сметаной  </v>
      </c>
      <c r="J16" s="303" t="str">
        <f>Меню!A966</f>
        <v>Рассольник Ленинградский  с мясом и сметаной </v>
      </c>
      <c r="K16" s="303" t="str">
        <f>Меню!A1081</f>
        <v>Суп из овощей с яйцом, с курицей</v>
      </c>
      <c r="L16" s="303" t="str">
        <f>Меню!A1164</f>
        <v>Щи из свежей капусты с картофелем, с мясными фрикадельками со сметаной 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1:23" ht="29.25" customHeight="1">
      <c r="A17" s="309"/>
      <c r="B17" s="307"/>
      <c r="C17" s="307"/>
      <c r="D17" s="307"/>
      <c r="E17" s="307"/>
      <c r="F17" s="307"/>
      <c r="G17" s="307" t="str">
        <f>Меню!A656</f>
        <v>ИЛИ Суп-лапша домашняя, с мясными фрикадельками </v>
      </c>
      <c r="H17" s="307"/>
      <c r="I17" s="307"/>
      <c r="J17" s="307"/>
      <c r="K17" s="307" t="str">
        <f>Меню!A1085</f>
        <v>ИЛИ Суп из овощей с яйцом, с мясом</v>
      </c>
      <c r="L17" s="307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23" ht="29.25" customHeight="1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1:23" ht="28.5" customHeight="1">
      <c r="A19" s="305" t="str">
        <f>Меню!A72</f>
        <v>Рыба, тушеная в томате с овощами </v>
      </c>
      <c r="B19" s="305" t="str">
        <f>Меню!A172</f>
        <v>Тефтели из печени с соусом</v>
      </c>
      <c r="C19" s="305" t="str">
        <f>Меню!A255</f>
        <v>Жаркое из птицы </v>
      </c>
      <c r="D19" s="305" t="str">
        <f>Меню!A387</f>
        <v>Котлеты из мяса по домашнему (свинина мясная и говядина) с маслом</v>
      </c>
      <c r="E19" s="305" t="str">
        <f>Меню!A462</f>
        <v>Зразы рубленные из индейки с сыром</v>
      </c>
      <c r="F19" s="305" t="str">
        <f>Меню!A560</f>
        <v>Биточки из мяса с маслом</v>
      </c>
      <c r="G19" s="305" t="str">
        <f>Меню!A675</f>
        <v>Шницель из птицы с маслом  </v>
      </c>
      <c r="H19" s="305" t="str">
        <f>Меню!A788</f>
        <v>Птица, в соусе с томатом</v>
      </c>
      <c r="I19" s="305" t="str">
        <f>Меню!A886</f>
        <v>Биточки рубленные из птицы запеченные с маслом</v>
      </c>
      <c r="J19" s="305" t="str">
        <f>Меню!A981</f>
        <v>Рыба запечённая с маслом </v>
      </c>
      <c r="K19" s="305" t="str">
        <f>Меню!A1098</f>
        <v>Печень, тушеная в соусе </v>
      </c>
      <c r="L19" s="305" t="str">
        <f>Меню!A1183</f>
        <v>Жаркое по - домашнему 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1:23" ht="21.75" customHeight="1">
      <c r="A20" s="307"/>
      <c r="B20" s="307"/>
      <c r="C20" s="307" t="str">
        <f>Меню!A274</f>
        <v>Жаркое по - домашнему </v>
      </c>
      <c r="D20" s="307"/>
      <c r="E20" s="307" t="str">
        <f>Меню!A475</f>
        <v>Шницель из мяса</v>
      </c>
      <c r="F20" s="307"/>
      <c r="G20" s="307" t="str">
        <f>Меню!A690</f>
        <v>Шницель из мяса с маслом</v>
      </c>
      <c r="H20" s="307" t="str">
        <f>Меню!A800</f>
        <v>Гуляш </v>
      </c>
      <c r="I20" s="307" t="str">
        <f>Меню!A901</f>
        <v>Биточки из мяса с маслом</v>
      </c>
      <c r="J20" s="307"/>
      <c r="K20" s="307"/>
      <c r="L20" s="307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1:23" ht="21.75" customHeight="1">
      <c r="A21" s="307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21" customHeight="1">
      <c r="A22" s="307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</row>
    <row r="23" spans="1:23" ht="24.75" customHeight="1">
      <c r="A23" s="303" t="str">
        <f>Меню!A83</f>
        <v>Картофель толченый по деревенски </v>
      </c>
      <c r="B23" s="303" t="str">
        <f>Меню!A188</f>
        <v>Рис отварной </v>
      </c>
      <c r="C23" s="306"/>
      <c r="D23" s="303" t="str">
        <f>Меню!A399</f>
        <v>Каша гречневая вязкая </v>
      </c>
      <c r="E23" s="303" t="str">
        <f>Меню!A488</f>
        <v>Картофель толченый по деревенски </v>
      </c>
      <c r="F23" s="303" t="str">
        <f>Меню!A574</f>
        <v>Рис отварной </v>
      </c>
      <c r="G23" s="303" t="str">
        <f>Меню!A704</f>
        <v>Овощи тушеные в соусе </v>
      </c>
      <c r="H23" s="303" t="str">
        <f>Меню!A807</f>
        <v>Рис отварной </v>
      </c>
      <c r="I23" s="303" t="str">
        <f>Меню!A915</f>
        <v>Капуста тушённая</v>
      </c>
      <c r="J23" s="303" t="str">
        <f>Меню!A989</f>
        <v>Пюре картофельное </v>
      </c>
      <c r="K23" s="303" t="str">
        <f>Меню!A1108</f>
        <v>Каша гречневая вязкая </v>
      </c>
      <c r="L23" s="303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1:23" ht="29.25" customHeight="1">
      <c r="A24" s="303" t="str">
        <f>Меню!A92</f>
        <v>Сок в ассортименте </v>
      </c>
      <c r="B24" s="303" t="str">
        <f>Меню!A192</f>
        <v>Сок в ассортименте </v>
      </c>
      <c r="C24" s="303" t="str">
        <f>Меню!A286</f>
        <v>Кисель из свежих ягод</v>
      </c>
      <c r="D24" s="303" t="str">
        <f>Меню!A403</f>
        <v>Сок в ассортименте </v>
      </c>
      <c r="E24" s="303" t="str">
        <f>Меню!A497</f>
        <v>Компот из свежемороженой вишни  </v>
      </c>
      <c r="F24" s="303" t="str">
        <f>Меню!A578</f>
        <v>Напиток из плодов шиповника </v>
      </c>
      <c r="G24" s="303" t="str">
        <f>Меню!A720</f>
        <v>Сок в ассортименте </v>
      </c>
      <c r="H24" s="303" t="str">
        <f>Меню!A811</f>
        <v>Компот из свежемороженой смородины  </v>
      </c>
      <c r="I24" s="303" t="str">
        <f>Меню!A924</f>
        <v>Компот из кураги </v>
      </c>
      <c r="J24" s="303" t="str">
        <f>Меню!A1000</f>
        <v>Кисель из свежих ягод</v>
      </c>
      <c r="K24" s="303" t="str">
        <f>Меню!A1112</f>
        <v>Сок в ассортименте </v>
      </c>
      <c r="L24" s="303" t="str">
        <f>Меню!A1195</f>
        <v>Сок в ассортименте </v>
      </c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1:23" ht="27" customHeight="1">
      <c r="A25" s="307" t="str">
        <f>Меню!A94</f>
        <v>Компот из кураги </v>
      </c>
      <c r="B25" s="307" t="str">
        <f>Меню!A194</f>
        <v>Компот из яблок и апельсин  </v>
      </c>
      <c r="C25" s="171"/>
      <c r="D25" s="307" t="str">
        <f>Меню!A405</f>
        <v>Компот из свежих яблок с ягодами </v>
      </c>
      <c r="E25" s="171"/>
      <c r="F25" s="171"/>
      <c r="G25" s="307" t="str">
        <f>Меню!A722</f>
        <v>Компот из сухофруктов </v>
      </c>
      <c r="H25" s="171"/>
      <c r="I25" s="171"/>
      <c r="J25" s="171"/>
      <c r="K25" s="307" t="str">
        <f>Меню!A1114</f>
        <v>Компот из урюка </v>
      </c>
      <c r="L25" s="307" t="str">
        <f>Меню!A1197</f>
        <v>Компот из свежих яблок с ягодами </v>
      </c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</row>
    <row r="26" spans="1:12" ht="12.75">
      <c r="A26" s="285">
        <v>1</v>
      </c>
      <c r="B26" s="285">
        <v>2</v>
      </c>
      <c r="C26" s="285">
        <v>3</v>
      </c>
      <c r="D26" s="285">
        <v>4</v>
      </c>
      <c r="E26" s="285">
        <v>5</v>
      </c>
      <c r="F26" s="285">
        <v>6</v>
      </c>
      <c r="G26" s="285">
        <v>7</v>
      </c>
      <c r="H26" s="285">
        <v>8</v>
      </c>
      <c r="I26" s="285">
        <v>9</v>
      </c>
      <c r="J26" s="285">
        <v>10</v>
      </c>
      <c r="K26" s="285">
        <v>11</v>
      </c>
      <c r="L26" s="285">
        <v>12</v>
      </c>
    </row>
  </sheetData>
  <sheetProtection password="CF52" sheet="1"/>
  <mergeCells count="3">
    <mergeCell ref="A1:L1"/>
    <mergeCell ref="A12:L12"/>
    <mergeCell ref="A3:L3"/>
  </mergeCells>
  <printOptions horizontalCentered="1"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2022-07-15T10:39:26Z</cp:lastPrinted>
  <dcterms:created xsi:type="dcterms:W3CDTF">1996-10-08T23:32:33Z</dcterms:created>
  <dcterms:modified xsi:type="dcterms:W3CDTF">2022-08-03T08:43:15Z</dcterms:modified>
  <cp:category/>
  <cp:version/>
  <cp:contentType/>
  <cp:contentStatus/>
</cp:coreProperties>
</file>